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16B8B2EF-4DDB-426C-A101-9A0CFB2ECD7C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Abrechnung" sheetId="1" r:id="rId1"/>
    <sheet name="Auswertung" sheetId="2" r:id="rId2"/>
    <sheet name="Listen" sheetId="3" r:id="rId3"/>
  </sheets>
  <definedNames>
    <definedName name="_xlnm._FilterDatabase" localSheetId="0" hidden="1">Abrechnung!$B$13:$Q$113</definedName>
    <definedName name="Buchungsarten">Listen!$D$8:$D$9</definedName>
    <definedName name="_xlnm.Print_Area" localSheetId="0">Abrechnung!$B$2:$Q$122</definedName>
    <definedName name="_xlnm.Print_Area" localSheetId="1">Auswertung!$B$2:$M$56</definedName>
    <definedName name="_xlnm.Print_Titles" localSheetId="0">Abrechnung!$13:$13</definedName>
    <definedName name="Kategorien">Listen!$B$8:$B$23</definedName>
    <definedName name="Steuersaetze">Listen!$H$8:$H$10</definedName>
    <definedName name="Zahlungsarten">Listen!$F$8:$F$12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9" i="2" l="1"/>
  <c r="E39" i="2" s="1"/>
  <c r="C39" i="2"/>
  <c r="D38" i="2"/>
  <c r="C38" i="2"/>
  <c r="E38" i="2" s="1"/>
  <c r="D37" i="2"/>
  <c r="C37" i="2"/>
  <c r="E37" i="2" s="1"/>
  <c r="D36" i="2"/>
  <c r="C36" i="2"/>
  <c r="D35" i="2"/>
  <c r="E35" i="2" s="1"/>
  <c r="C35" i="2"/>
  <c r="F35" i="2" s="1"/>
  <c r="D34" i="2"/>
  <c r="C34" i="2"/>
  <c r="D33" i="2"/>
  <c r="C33" i="2"/>
  <c r="E33" i="2" s="1"/>
  <c r="D32" i="2"/>
  <c r="C32" i="2"/>
  <c r="E32" i="2" s="1"/>
  <c r="D31" i="2"/>
  <c r="E31" i="2" s="1"/>
  <c r="C31" i="2"/>
  <c r="D30" i="2"/>
  <c r="E30" i="2" s="1"/>
  <c r="C30" i="2"/>
  <c r="F30" i="2" s="1"/>
  <c r="D29" i="2"/>
  <c r="C29" i="2"/>
  <c r="D28" i="2"/>
  <c r="C28" i="2"/>
  <c r="E28" i="2" s="1"/>
  <c r="D27" i="2"/>
  <c r="C27" i="2"/>
  <c r="E27" i="2" s="1"/>
  <c r="D26" i="2"/>
  <c r="E26" i="2" s="1"/>
  <c r="C26" i="2"/>
  <c r="D25" i="2"/>
  <c r="E25" i="2" s="1"/>
  <c r="C25" i="2"/>
  <c r="F25" i="2" s="1"/>
  <c r="D24" i="2"/>
  <c r="D40" i="2" s="1"/>
  <c r="C24" i="2"/>
  <c r="C40" i="2" s="1"/>
  <c r="K19" i="2"/>
  <c r="I19" i="2"/>
  <c r="E19" i="2"/>
  <c r="D19" i="2"/>
  <c r="C19" i="2"/>
  <c r="D18" i="2"/>
  <c r="C18" i="2"/>
  <c r="F18" i="2" s="1"/>
  <c r="K17" i="2"/>
  <c r="I17" i="2"/>
  <c r="D17" i="2"/>
  <c r="C17" i="2"/>
  <c r="K16" i="2"/>
  <c r="I16" i="2"/>
  <c r="D16" i="2"/>
  <c r="C16" i="2"/>
  <c r="E16" i="2" s="1"/>
  <c r="D15" i="2"/>
  <c r="C15" i="2"/>
  <c r="F15" i="2" s="1"/>
  <c r="D14" i="2"/>
  <c r="C14" i="2"/>
  <c r="E14" i="2" s="1"/>
  <c r="D13" i="2"/>
  <c r="E13" i="2" s="1"/>
  <c r="C13" i="2"/>
  <c r="D12" i="2"/>
  <c r="E12" i="2" s="1"/>
  <c r="C12" i="2"/>
  <c r="F12" i="2" s="1"/>
  <c r="D11" i="2"/>
  <c r="E11" i="2" s="1"/>
  <c r="C11" i="2"/>
  <c r="K10" i="2"/>
  <c r="J10" i="2"/>
  <c r="I10" i="2"/>
  <c r="D10" i="2"/>
  <c r="C10" i="2"/>
  <c r="E10" i="2" s="1"/>
  <c r="K9" i="2"/>
  <c r="J9" i="2"/>
  <c r="I9" i="2"/>
  <c r="D9" i="2"/>
  <c r="E9" i="2" s="1"/>
  <c r="C9" i="2"/>
  <c r="F9" i="2" s="1"/>
  <c r="K8" i="2"/>
  <c r="K11" i="2" s="1"/>
  <c r="I8" i="2"/>
  <c r="I11" i="2" s="1"/>
  <c r="D8" i="2"/>
  <c r="E8" i="2" s="1"/>
  <c r="C8" i="2"/>
  <c r="C20" i="2" s="1"/>
  <c r="H2" i="2"/>
  <c r="O114" i="1"/>
  <c r="I114" i="1"/>
  <c r="Q113" i="1"/>
  <c r="P113" i="1"/>
  <c r="L113" i="1"/>
  <c r="K113" i="1"/>
  <c r="B113" i="1"/>
  <c r="Q112" i="1"/>
  <c r="P112" i="1"/>
  <c r="L112" i="1"/>
  <c r="K112" i="1"/>
  <c r="B112" i="1"/>
  <c r="Q111" i="1"/>
  <c r="P111" i="1"/>
  <c r="L111" i="1"/>
  <c r="K111" i="1"/>
  <c r="B111" i="1"/>
  <c r="Q110" i="1"/>
  <c r="P110" i="1"/>
  <c r="L110" i="1"/>
  <c r="K110" i="1"/>
  <c r="B110" i="1"/>
  <c r="Q109" i="1"/>
  <c r="P109" i="1"/>
  <c r="L109" i="1"/>
  <c r="K109" i="1"/>
  <c r="B109" i="1"/>
  <c r="Q108" i="1"/>
  <c r="P108" i="1"/>
  <c r="L108" i="1"/>
  <c r="K108" i="1"/>
  <c r="B108" i="1"/>
  <c r="Q107" i="1"/>
  <c r="P107" i="1"/>
  <c r="L107" i="1"/>
  <c r="K107" i="1"/>
  <c r="B107" i="1"/>
  <c r="Q106" i="1"/>
  <c r="P106" i="1"/>
  <c r="L106" i="1"/>
  <c r="K106" i="1"/>
  <c r="B106" i="1"/>
  <c r="Q105" i="1"/>
  <c r="P105" i="1"/>
  <c r="L105" i="1"/>
  <c r="K105" i="1"/>
  <c r="B105" i="1"/>
  <c r="Q104" i="1"/>
  <c r="P104" i="1"/>
  <c r="L104" i="1"/>
  <c r="K104" i="1"/>
  <c r="B104" i="1"/>
  <c r="Q103" i="1"/>
  <c r="P103" i="1"/>
  <c r="L103" i="1"/>
  <c r="K103" i="1"/>
  <c r="B103" i="1"/>
  <c r="Q102" i="1"/>
  <c r="P102" i="1"/>
  <c r="L102" i="1"/>
  <c r="K102" i="1"/>
  <c r="B102" i="1"/>
  <c r="Q101" i="1"/>
  <c r="P101" i="1"/>
  <c r="L101" i="1"/>
  <c r="K101" i="1"/>
  <c r="B101" i="1"/>
  <c r="Q100" i="1"/>
  <c r="P100" i="1"/>
  <c r="L100" i="1"/>
  <c r="K100" i="1"/>
  <c r="B100" i="1"/>
  <c r="Q99" i="1"/>
  <c r="P99" i="1"/>
  <c r="L99" i="1"/>
  <c r="K99" i="1"/>
  <c r="B99" i="1"/>
  <c r="Q98" i="1"/>
  <c r="P98" i="1"/>
  <c r="L98" i="1"/>
  <c r="K98" i="1"/>
  <c r="B98" i="1"/>
  <c r="Q97" i="1"/>
  <c r="P97" i="1"/>
  <c r="L97" i="1"/>
  <c r="K97" i="1"/>
  <c r="B97" i="1"/>
  <c r="Q96" i="1"/>
  <c r="P96" i="1"/>
  <c r="L96" i="1"/>
  <c r="K96" i="1"/>
  <c r="B96" i="1"/>
  <c r="Q95" i="1"/>
  <c r="P95" i="1"/>
  <c r="L95" i="1"/>
  <c r="K95" i="1"/>
  <c r="B95" i="1"/>
  <c r="Q94" i="1"/>
  <c r="P94" i="1"/>
  <c r="L94" i="1"/>
  <c r="K94" i="1"/>
  <c r="B94" i="1"/>
  <c r="Q93" i="1"/>
  <c r="P93" i="1"/>
  <c r="L93" i="1"/>
  <c r="K93" i="1"/>
  <c r="B93" i="1"/>
  <c r="Q92" i="1"/>
  <c r="P92" i="1"/>
  <c r="L92" i="1"/>
  <c r="K92" i="1"/>
  <c r="B92" i="1"/>
  <c r="Q91" i="1"/>
  <c r="P91" i="1"/>
  <c r="L91" i="1"/>
  <c r="K91" i="1"/>
  <c r="B91" i="1"/>
  <c r="Q90" i="1"/>
  <c r="P90" i="1"/>
  <c r="L90" i="1"/>
  <c r="K90" i="1"/>
  <c r="B90" i="1"/>
  <c r="Q89" i="1"/>
  <c r="P89" i="1"/>
  <c r="L89" i="1"/>
  <c r="K89" i="1"/>
  <c r="B89" i="1"/>
  <c r="Q88" i="1"/>
  <c r="P88" i="1"/>
  <c r="L88" i="1"/>
  <c r="K88" i="1"/>
  <c r="B88" i="1"/>
  <c r="Q87" i="1"/>
  <c r="P87" i="1"/>
  <c r="L87" i="1"/>
  <c r="K87" i="1"/>
  <c r="B87" i="1"/>
  <c r="Q86" i="1"/>
  <c r="P86" i="1"/>
  <c r="L86" i="1"/>
  <c r="K86" i="1"/>
  <c r="B86" i="1"/>
  <c r="Q85" i="1"/>
  <c r="P85" i="1"/>
  <c r="L85" i="1"/>
  <c r="K85" i="1"/>
  <c r="B85" i="1"/>
  <c r="Q84" i="1"/>
  <c r="P84" i="1"/>
  <c r="L84" i="1"/>
  <c r="K84" i="1"/>
  <c r="B84" i="1"/>
  <c r="Q83" i="1"/>
  <c r="P83" i="1"/>
  <c r="L83" i="1"/>
  <c r="K83" i="1"/>
  <c r="B83" i="1"/>
  <c r="Q82" i="1"/>
  <c r="P82" i="1"/>
  <c r="L82" i="1"/>
  <c r="K82" i="1"/>
  <c r="B82" i="1"/>
  <c r="Q81" i="1"/>
  <c r="P81" i="1"/>
  <c r="L81" i="1"/>
  <c r="K81" i="1"/>
  <c r="B81" i="1"/>
  <c r="Q80" i="1"/>
  <c r="P80" i="1"/>
  <c r="L80" i="1"/>
  <c r="K80" i="1"/>
  <c r="B80" i="1"/>
  <c r="Q79" i="1"/>
  <c r="P79" i="1"/>
  <c r="L79" i="1"/>
  <c r="K79" i="1"/>
  <c r="B79" i="1"/>
  <c r="Q78" i="1"/>
  <c r="P78" i="1"/>
  <c r="L78" i="1"/>
  <c r="K78" i="1"/>
  <c r="B78" i="1"/>
  <c r="Q77" i="1"/>
  <c r="P77" i="1"/>
  <c r="L77" i="1"/>
  <c r="K77" i="1"/>
  <c r="B77" i="1"/>
  <c r="Q76" i="1"/>
  <c r="P76" i="1"/>
  <c r="L76" i="1"/>
  <c r="K76" i="1"/>
  <c r="B76" i="1"/>
  <c r="Q75" i="1"/>
  <c r="P75" i="1"/>
  <c r="L75" i="1"/>
  <c r="K75" i="1"/>
  <c r="B75" i="1"/>
  <c r="Q74" i="1"/>
  <c r="P74" i="1"/>
  <c r="L74" i="1"/>
  <c r="K74" i="1"/>
  <c r="B74" i="1"/>
  <c r="Q73" i="1"/>
  <c r="P73" i="1"/>
  <c r="L73" i="1"/>
  <c r="K73" i="1"/>
  <c r="B73" i="1"/>
  <c r="Q72" i="1"/>
  <c r="P72" i="1"/>
  <c r="L72" i="1"/>
  <c r="K72" i="1"/>
  <c r="B72" i="1"/>
  <c r="Q71" i="1"/>
  <c r="P71" i="1"/>
  <c r="L71" i="1"/>
  <c r="K71" i="1"/>
  <c r="B71" i="1"/>
  <c r="Q70" i="1"/>
  <c r="P70" i="1"/>
  <c r="L70" i="1"/>
  <c r="K70" i="1"/>
  <c r="B70" i="1"/>
  <c r="Q69" i="1"/>
  <c r="P69" i="1"/>
  <c r="L69" i="1"/>
  <c r="K69" i="1"/>
  <c r="B69" i="1"/>
  <c r="Q68" i="1"/>
  <c r="P68" i="1"/>
  <c r="L68" i="1"/>
  <c r="K68" i="1"/>
  <c r="B68" i="1"/>
  <c r="Q67" i="1"/>
  <c r="P67" i="1"/>
  <c r="L67" i="1"/>
  <c r="K67" i="1"/>
  <c r="B67" i="1"/>
  <c r="Q66" i="1"/>
  <c r="P66" i="1"/>
  <c r="L66" i="1"/>
  <c r="K66" i="1"/>
  <c r="B66" i="1"/>
  <c r="Q65" i="1"/>
  <c r="P65" i="1"/>
  <c r="L65" i="1"/>
  <c r="K65" i="1"/>
  <c r="B65" i="1"/>
  <c r="Q64" i="1"/>
  <c r="P64" i="1"/>
  <c r="L64" i="1"/>
  <c r="K64" i="1"/>
  <c r="B64" i="1"/>
  <c r="Q63" i="1"/>
  <c r="P63" i="1"/>
  <c r="L63" i="1"/>
  <c r="K63" i="1"/>
  <c r="B63" i="1"/>
  <c r="Q62" i="1"/>
  <c r="P62" i="1"/>
  <c r="L62" i="1"/>
  <c r="K62" i="1"/>
  <c r="B62" i="1"/>
  <c r="Q61" i="1"/>
  <c r="P61" i="1"/>
  <c r="L61" i="1"/>
  <c r="K61" i="1"/>
  <c r="B61" i="1"/>
  <c r="Q60" i="1"/>
  <c r="P60" i="1"/>
  <c r="L60" i="1"/>
  <c r="K60" i="1"/>
  <c r="B60" i="1"/>
  <c r="Q59" i="1"/>
  <c r="P59" i="1"/>
  <c r="L59" i="1"/>
  <c r="K59" i="1"/>
  <c r="B59" i="1"/>
  <c r="Q58" i="1"/>
  <c r="P58" i="1"/>
  <c r="L58" i="1"/>
  <c r="K58" i="1"/>
  <c r="B58" i="1"/>
  <c r="Q57" i="1"/>
  <c r="P57" i="1"/>
  <c r="L57" i="1"/>
  <c r="K57" i="1"/>
  <c r="B57" i="1"/>
  <c r="Q56" i="1"/>
  <c r="P56" i="1"/>
  <c r="L56" i="1"/>
  <c r="K56" i="1"/>
  <c r="B56" i="1"/>
  <c r="Q55" i="1"/>
  <c r="P55" i="1"/>
  <c r="L55" i="1"/>
  <c r="K55" i="1"/>
  <c r="B55" i="1"/>
  <c r="Q54" i="1"/>
  <c r="P54" i="1"/>
  <c r="L54" i="1"/>
  <c r="K54" i="1"/>
  <c r="B54" i="1"/>
  <c r="Q53" i="1"/>
  <c r="P53" i="1"/>
  <c r="L53" i="1"/>
  <c r="K53" i="1"/>
  <c r="B53" i="1"/>
  <c r="Q52" i="1"/>
  <c r="P52" i="1"/>
  <c r="L52" i="1"/>
  <c r="K52" i="1"/>
  <c r="B52" i="1"/>
  <c r="Q51" i="1"/>
  <c r="P51" i="1"/>
  <c r="L51" i="1"/>
  <c r="K51" i="1"/>
  <c r="B51" i="1"/>
  <c r="Q50" i="1"/>
  <c r="P50" i="1"/>
  <c r="L50" i="1"/>
  <c r="K50" i="1"/>
  <c r="B50" i="1"/>
  <c r="Q49" i="1"/>
  <c r="P49" i="1"/>
  <c r="L49" i="1"/>
  <c r="K49" i="1"/>
  <c r="B49" i="1"/>
  <c r="Q48" i="1"/>
  <c r="P48" i="1"/>
  <c r="L48" i="1"/>
  <c r="K48" i="1"/>
  <c r="B48" i="1"/>
  <c r="Q47" i="1"/>
  <c r="P47" i="1"/>
  <c r="L47" i="1"/>
  <c r="K47" i="1"/>
  <c r="B47" i="1"/>
  <c r="Q46" i="1"/>
  <c r="P46" i="1"/>
  <c r="L46" i="1"/>
  <c r="K46" i="1"/>
  <c r="B46" i="1"/>
  <c r="Q45" i="1"/>
  <c r="P45" i="1"/>
  <c r="L45" i="1"/>
  <c r="K45" i="1"/>
  <c r="B45" i="1"/>
  <c r="Q44" i="1"/>
  <c r="P44" i="1"/>
  <c r="L44" i="1"/>
  <c r="K44" i="1"/>
  <c r="B44" i="1"/>
  <c r="Q43" i="1"/>
  <c r="P43" i="1"/>
  <c r="L43" i="1"/>
  <c r="K43" i="1"/>
  <c r="B43" i="1"/>
  <c r="Q42" i="1"/>
  <c r="P42" i="1"/>
  <c r="L42" i="1"/>
  <c r="K42" i="1"/>
  <c r="B42" i="1"/>
  <c r="Q41" i="1"/>
  <c r="P41" i="1"/>
  <c r="L41" i="1"/>
  <c r="K41" i="1"/>
  <c r="B41" i="1"/>
  <c r="Q40" i="1"/>
  <c r="P40" i="1"/>
  <c r="L40" i="1"/>
  <c r="K40" i="1"/>
  <c r="B40" i="1"/>
  <c r="L39" i="1"/>
  <c r="P39" i="1" s="1"/>
  <c r="K39" i="1"/>
  <c r="B39" i="1"/>
  <c r="K38" i="1"/>
  <c r="L38" i="1" s="1"/>
  <c r="B38" i="1"/>
  <c r="K37" i="1"/>
  <c r="L37" i="1" s="1"/>
  <c r="B37" i="1"/>
  <c r="K36" i="1"/>
  <c r="L36" i="1" s="1"/>
  <c r="B36" i="1"/>
  <c r="L35" i="1"/>
  <c r="Q35" i="1" s="1"/>
  <c r="K35" i="1"/>
  <c r="B35" i="1"/>
  <c r="K34" i="1"/>
  <c r="L34" i="1" s="1"/>
  <c r="B34" i="1"/>
  <c r="K33" i="1"/>
  <c r="L33" i="1" s="1"/>
  <c r="B33" i="1"/>
  <c r="K32" i="1"/>
  <c r="J8" i="2" s="1"/>
  <c r="B32" i="1"/>
  <c r="L31" i="1"/>
  <c r="P31" i="1" s="1"/>
  <c r="K31" i="1"/>
  <c r="B31" i="1"/>
  <c r="K30" i="1"/>
  <c r="L30" i="1" s="1"/>
  <c r="B30" i="1"/>
  <c r="K29" i="1"/>
  <c r="L29" i="1" s="1"/>
  <c r="B29" i="1"/>
  <c r="K28" i="1"/>
  <c r="L28" i="1" s="1"/>
  <c r="B28" i="1"/>
  <c r="L27" i="1"/>
  <c r="Q27" i="1" s="1"/>
  <c r="K27" i="1"/>
  <c r="B27" i="1"/>
  <c r="K26" i="1"/>
  <c r="L26" i="1" s="1"/>
  <c r="B26" i="1"/>
  <c r="K25" i="1"/>
  <c r="L25" i="1" s="1"/>
  <c r="B25" i="1"/>
  <c r="K24" i="1"/>
  <c r="L10" i="2" s="1"/>
  <c r="B24" i="1"/>
  <c r="L23" i="1"/>
  <c r="Q23" i="1" s="1"/>
  <c r="K23" i="1"/>
  <c r="B23" i="1"/>
  <c r="K22" i="1"/>
  <c r="L22" i="1" s="1"/>
  <c r="B22" i="1"/>
  <c r="K21" i="1"/>
  <c r="L9" i="2" s="1"/>
  <c r="M9" i="2" s="1"/>
  <c r="B21" i="1"/>
  <c r="K20" i="1"/>
  <c r="L20" i="1" s="1"/>
  <c r="B20" i="1"/>
  <c r="L19" i="1"/>
  <c r="P19" i="1" s="1"/>
  <c r="K19" i="1"/>
  <c r="B19" i="1"/>
  <c r="K18" i="1"/>
  <c r="L18" i="1" s="1"/>
  <c r="B18" i="1"/>
  <c r="K17" i="1"/>
  <c r="L17" i="1" s="1"/>
  <c r="B17" i="1"/>
  <c r="K16" i="1"/>
  <c r="L16" i="1" s="1"/>
  <c r="B16" i="1"/>
  <c r="L15" i="1"/>
  <c r="K15" i="1"/>
  <c r="L8" i="2" s="1"/>
  <c r="B15" i="1"/>
  <c r="K14" i="1"/>
  <c r="L14" i="1" s="1"/>
  <c r="B14" i="1"/>
  <c r="O8" i="1"/>
  <c r="L8" i="1"/>
  <c r="I8" i="1"/>
  <c r="L11" i="2" l="1"/>
  <c r="Q16" i="1"/>
  <c r="P16" i="1"/>
  <c r="Q18" i="1"/>
  <c r="P18" i="1"/>
  <c r="P36" i="1"/>
  <c r="Q36" i="1"/>
  <c r="F38" i="2"/>
  <c r="F33" i="2"/>
  <c r="F28" i="2"/>
  <c r="F34" i="2"/>
  <c r="F16" i="2"/>
  <c r="F13" i="2"/>
  <c r="F20" i="2"/>
  <c r="F11" i="2"/>
  <c r="F8" i="2"/>
  <c r="F10" i="2"/>
  <c r="F19" i="2"/>
  <c r="Q25" i="1"/>
  <c r="P25" i="1"/>
  <c r="Q26" i="1"/>
  <c r="P26" i="1"/>
  <c r="Q30" i="1"/>
  <c r="P30" i="1"/>
  <c r="P20" i="1"/>
  <c r="Q20" i="1"/>
  <c r="F36" i="2"/>
  <c r="Q33" i="1"/>
  <c r="P33" i="1"/>
  <c r="Q34" i="1"/>
  <c r="P34" i="1"/>
  <c r="Q37" i="1"/>
  <c r="P37" i="1"/>
  <c r="Q29" i="1"/>
  <c r="P29" i="1"/>
  <c r="Q22" i="1"/>
  <c r="P22" i="1"/>
  <c r="F17" i="2"/>
  <c r="P28" i="1"/>
  <c r="Q28" i="1"/>
  <c r="Q38" i="1"/>
  <c r="P38" i="1"/>
  <c r="Q14" i="1"/>
  <c r="P14" i="1"/>
  <c r="F29" i="2"/>
  <c r="F39" i="2"/>
  <c r="M10" i="2"/>
  <c r="Q17" i="1"/>
  <c r="P17" i="1"/>
  <c r="J11" i="2"/>
  <c r="M8" i="2"/>
  <c r="M11" i="2" s="1"/>
  <c r="P15" i="1"/>
  <c r="E17" i="2"/>
  <c r="P27" i="1"/>
  <c r="F26" i="2"/>
  <c r="F14" i="2"/>
  <c r="F27" i="2"/>
  <c r="F32" i="2"/>
  <c r="F37" i="2"/>
  <c r="D20" i="2"/>
  <c r="Q19" i="1"/>
  <c r="P35" i="1"/>
  <c r="E36" i="2"/>
  <c r="Q15" i="1"/>
  <c r="Q31" i="1"/>
  <c r="Q39" i="1"/>
  <c r="F31" i="2"/>
  <c r="L24" i="1"/>
  <c r="L32" i="1"/>
  <c r="E15" i="2"/>
  <c r="E20" i="2" s="1"/>
  <c r="I11" i="1"/>
  <c r="L21" i="1"/>
  <c r="E18" i="2"/>
  <c r="E24" i="2"/>
  <c r="E29" i="2"/>
  <c r="E34" i="2"/>
  <c r="F24" i="2"/>
  <c r="K114" i="1"/>
  <c r="P23" i="1"/>
  <c r="Q21" i="1" l="1"/>
  <c r="P21" i="1"/>
  <c r="Q32" i="1"/>
  <c r="P32" i="1"/>
  <c r="J16" i="2"/>
  <c r="M16" i="2" s="1"/>
  <c r="F40" i="2"/>
  <c r="Q24" i="1"/>
  <c r="J18" i="2" s="1"/>
  <c r="P24" i="1"/>
  <c r="O11" i="1" s="1"/>
  <c r="L114" i="1"/>
  <c r="K18" i="2"/>
  <c r="I18" i="2"/>
  <c r="L18" i="2"/>
  <c r="L16" i="2"/>
  <c r="P114" i="1"/>
  <c r="L11" i="1"/>
  <c r="L19" i="2"/>
  <c r="J19" i="2"/>
  <c r="M19" i="2" s="1"/>
  <c r="E40" i="2"/>
  <c r="J17" i="2"/>
  <c r="M17" i="2" s="1"/>
  <c r="M18" i="2" l="1"/>
  <c r="L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I7" authorId="0" shapeId="0" xr:uid="{00000000-0006-0000-0000-000001000000}">
      <text>
        <r>
          <rPr>
            <sz val="10"/>
            <rFont val="Arial"/>
            <family val="2"/>
          </rPr>
          <t>Kennzahlen aktualisieren sich automatisch aus dem Buchungsjournal.</t>
        </r>
      </text>
    </comment>
  </commentList>
</comments>
</file>

<file path=xl/sharedStrings.xml><?xml version="1.0" encoding="utf-8"?>
<sst xmlns="http://schemas.openxmlformats.org/spreadsheetml/2006/main" count="302" uniqueCount="193">
  <si>
    <t>ABRECHNUNG</t>
  </si>
  <si>
    <t>Einnahmen- und Ausgabenabrechnung  ·  Geschäftsjahr 2026</t>
  </si>
  <si>
    <t>UNTERNEHMEN</t>
  </si>
  <si>
    <t>ABRECHNUNGSDATEN</t>
  </si>
  <si>
    <t>KENNZAHLEN DES ABRECHNUNGSZEITRAUMS</t>
  </si>
  <si>
    <t>Firma</t>
  </si>
  <si>
    <t>Beispiel Handels- und Service GmbH</t>
  </si>
  <si>
    <t>Abrechnungs-Nr.</t>
  </si>
  <si>
    <t>ABR-2026-08</t>
  </si>
  <si>
    <t>EINNAHMEN NETTO</t>
  </si>
  <si>
    <t>AUSGABEN NETTO</t>
  </si>
  <si>
    <t>ERGEBNIS NETTO</t>
  </si>
  <si>
    <t>Anschrift</t>
  </si>
  <si>
    <t>Lindenallee 42</t>
  </si>
  <si>
    <t>Zeitraum von</t>
  </si>
  <si>
    <t>PLZ / Ort</t>
  </si>
  <si>
    <t>40210 Düsseldorf</t>
  </si>
  <si>
    <t>Zeitraum bis</t>
  </si>
  <si>
    <t>USt-IdNr.</t>
  </si>
  <si>
    <t>DE 812 345 678</t>
  </si>
  <si>
    <t>Erstellt am</t>
  </si>
  <si>
    <t>UMSATZSTEUER-ZAHLLAST</t>
  </si>
  <si>
    <t>OFFENE FORDERUNGEN</t>
  </si>
  <si>
    <t>OFFENE VERBINDLICHK.</t>
  </si>
  <si>
    <t>IBAN</t>
  </si>
  <si>
    <t>DE02 1203 0000 0000 2020 51</t>
  </si>
  <si>
    <t>Bearbeiter/in</t>
  </si>
  <si>
    <t>T. Reinhardt</t>
  </si>
  <si>
    <t>Nr.</t>
  </si>
  <si>
    <t>Datum</t>
  </si>
  <si>
    <t>Beleg-Nr.</t>
  </si>
  <si>
    <t>Beschreibung</t>
  </si>
  <si>
    <t>Geschäftspartner</t>
  </si>
  <si>
    <t>Kategorie</t>
  </si>
  <si>
    <t>Typ</t>
  </si>
  <si>
    <t>Netto €</t>
  </si>
  <si>
    <t>USt-Satz</t>
  </si>
  <si>
    <t>USt €</t>
  </si>
  <si>
    <t>Brutto €</t>
  </si>
  <si>
    <t>Zahlungsart</t>
  </si>
  <si>
    <t>Fällig am</t>
  </si>
  <si>
    <t>Bezahlt €</t>
  </si>
  <si>
    <t>Offen €</t>
  </si>
  <si>
    <t>Status</t>
  </si>
  <si>
    <t>RE-2026-0001</t>
  </si>
  <si>
    <t>Dienstleistungspauschale Januar</t>
  </si>
  <si>
    <t>Adlerbach Consulting GmbH</t>
  </si>
  <si>
    <t>Dienstleistungserlöse</t>
  </si>
  <si>
    <t>Einnahme</t>
  </si>
  <si>
    <t>Überweisung</t>
  </si>
  <si>
    <t>ER-2026-0044</t>
  </si>
  <si>
    <t>Miete Geschäftsräume Januar</t>
  </si>
  <si>
    <t>Sternfeld Immobilien KG</t>
  </si>
  <si>
    <t>Raumkosten</t>
  </si>
  <si>
    <t>Ausgabe</t>
  </si>
  <si>
    <t>Lastschrift</t>
  </si>
  <si>
    <t>RE-2026-0002</t>
  </si>
  <si>
    <t>Warenlieferung Auftrag 26-014</t>
  </si>
  <si>
    <t>Kolbe &amp; Sohn e.K.</t>
  </si>
  <si>
    <t>Warenerlöse</t>
  </si>
  <si>
    <t>ER-2026-0045</t>
  </si>
  <si>
    <t>Softwarelizenzen Team (Jahres-Abo)</t>
  </si>
  <si>
    <t>Nordpol Systems AG</t>
  </si>
  <si>
    <t>IT &amp; Software</t>
  </si>
  <si>
    <t>Kreditkarte</t>
  </si>
  <si>
    <t>ER-2026-0046</t>
  </si>
  <si>
    <t>Wareneinkauf Sammelbestellung</t>
  </si>
  <si>
    <t>Vierlinden Großhandel GmbH</t>
  </si>
  <si>
    <t>Wareneinsatz</t>
  </si>
  <si>
    <t>RE-2026-0003</t>
  </si>
  <si>
    <t>Wartungsvertrag Q1</t>
  </si>
  <si>
    <t>ER-2026-0047</t>
  </si>
  <si>
    <t>Personalkosten Februar (Teilzeit)</t>
  </si>
  <si>
    <t>Interne Lohnabrechnung</t>
  </si>
  <si>
    <t>Personalkosten</t>
  </si>
  <si>
    <t>ER-2026-0048</t>
  </si>
  <si>
    <t>Fachliteratur und Normen</t>
  </si>
  <si>
    <t>Hallenberg Verlag GmbH</t>
  </si>
  <si>
    <t>Fortbildung</t>
  </si>
  <si>
    <t>PayPal</t>
  </si>
  <si>
    <t>RE-2026-0004</t>
  </si>
  <si>
    <t>Projektabrechnung Phase 1</t>
  </si>
  <si>
    <t>Weststeg Logistik GmbH</t>
  </si>
  <si>
    <t>ER-2026-0049</t>
  </si>
  <si>
    <t>Kfz-Kosten Firmenwagen</t>
  </si>
  <si>
    <t>Tankstelle Ringpark</t>
  </si>
  <si>
    <t>Fahrzeugkosten</t>
  </si>
  <si>
    <t>ER-2026-0050</t>
  </si>
  <si>
    <t>Onlinewerbung Kampagne Frühjahr</t>
  </si>
  <si>
    <t>Feldmann Media GmbH</t>
  </si>
  <si>
    <t>Marketing</t>
  </si>
  <si>
    <t>RE-2026-0005</t>
  </si>
  <si>
    <t>Warenerlöse Sammelrechnung März</t>
  </si>
  <si>
    <t>ER-2026-0051</t>
  </si>
  <si>
    <t>Betriebshaftpflicht Jahresrate</t>
  </si>
  <si>
    <t>Rheinstadt Versicherung AG</t>
  </si>
  <si>
    <t>Versicherungen &amp; Beiträge</t>
  </si>
  <si>
    <t>RE-2026-0006</t>
  </si>
  <si>
    <t>Schulung vor Ort (2 Tage)</t>
  </si>
  <si>
    <t>ER-2026-0052</t>
  </si>
  <si>
    <t>Bürobedarf und Verbrauchsmaterial</t>
  </si>
  <si>
    <t>Papierhaus Talstraße</t>
  </si>
  <si>
    <t>Bürobedarf</t>
  </si>
  <si>
    <t>Bar</t>
  </si>
  <si>
    <t>ER-2026-0053</t>
  </si>
  <si>
    <t>Steuerberatung Jahresabschluss</t>
  </si>
  <si>
    <t>Kanzlei Brunner &amp; Partner</t>
  </si>
  <si>
    <t>Beratungskosten</t>
  </si>
  <si>
    <t>RE-2026-0007</t>
  </si>
  <si>
    <t>Warenlieferung Auftrag 26-088</t>
  </si>
  <si>
    <t>Sanderhof Vertrieb GmbH</t>
  </si>
  <si>
    <t>ER-2026-0054</t>
  </si>
  <si>
    <t>Bahnreise Kundentermin</t>
  </si>
  <si>
    <t>Reiseportal Süd</t>
  </si>
  <si>
    <t>Reisekosten</t>
  </si>
  <si>
    <t>RE-2026-0008</t>
  </si>
  <si>
    <t>Sonstige Erträge (Erstattung)</t>
  </si>
  <si>
    <t>Sonstige Erträge</t>
  </si>
  <si>
    <t>ER-2026-0055</t>
  </si>
  <si>
    <t>Wareneinkauf Nachbestellung</t>
  </si>
  <si>
    <t>RE-2026-0009</t>
  </si>
  <si>
    <t>Projektabrechnung Phase 2</t>
  </si>
  <si>
    <t>ER-2026-0056</t>
  </si>
  <si>
    <t>Kontoführung und Zahlungsverkehr</t>
  </si>
  <si>
    <t>Hausbank</t>
  </si>
  <si>
    <t>Bankgebühren</t>
  </si>
  <si>
    <t>RE-2026-0010</t>
  </si>
  <si>
    <t>Dienstleistungspauschale Juli</t>
  </si>
  <si>
    <t>ER-2026-0057</t>
  </si>
  <si>
    <t>Weiterbildung Online-Seminar</t>
  </si>
  <si>
    <t>Hallenberg Akademie</t>
  </si>
  <si>
    <t>RE-2026-0011</t>
  </si>
  <si>
    <t>Warenerlöse Sammelrechnung Juli</t>
  </si>
  <si>
    <t>ER-2026-0058</t>
  </si>
  <si>
    <t>Instandhaltung Geschäftsräume</t>
  </si>
  <si>
    <t>SUMME  ·  alle erfassten Buchungen</t>
  </si>
  <si>
    <t>LEGENDE UND HINWEISE ZUR NUTZUNG</t>
  </si>
  <si>
    <t>•   Creme hinterlegte Felder sind Eingabefelder.  Grau hinterlegte Felder enthalten Formeln (Nr., USt €, Brutto €, Offen €, Status) und sollten nicht überschrieben werden.</t>
  </si>
  <si>
    <t>•   Pro Vorgang eine Zeile: Datum, Beleg-Nr., Beschreibung, Geschäftspartner, Kategorie, Typ, Nettobetrag und USt-Satz erfassen.  Kategorie, Typ, USt-Satz und Zahlungsart sind Auswahllisten (Blatt „Listen“).</t>
  </si>
  <si>
    <t>•   Der Status wird automatisch ermittelt: Bezahlt € ≥ Brutto € = „Bezahlt“, Teilbetrag = „Teilzahlung“, Fälligkeit überschritten = „Überfällig“, sonst „Offen“.</t>
  </si>
  <si>
    <t>•   Gutschriften und Stornierungen werden mit negativem Nettobetrag in derselben Kategorie erfasst.  Bei Kleinunternehmerregelung nach § 19 UStG durchgehend den Satz 0 % wählen.</t>
  </si>
  <si>
    <t>•   Die Vorlage ist für 100 Buchungszeilen vorbereitet.  Weitere Zeilen bitte innerhalb des Bereichs einfügen, damit alle Formeln und Auswertungen mitwachsen.</t>
  </si>
  <si>
    <t>•   Alle Auswertungen im Blatt „Auswertung“ berechnen sich automatisch aus diesem Journal.  Die eingetragenen Werte sind unverbindliche Beispieldaten und ersetzen keine steuerliche Beratung.</t>
  </si>
  <si>
    <t>AUSWERTUNG</t>
  </si>
  <si>
    <t>MONATSÜBERSICHT (NETTO)</t>
  </si>
  <si>
    <t>UMSATZSTEUER NACH SATZ</t>
  </si>
  <si>
    <t>Monat</t>
  </si>
  <si>
    <t>Einnahmen €</t>
  </si>
  <si>
    <t>Ausgaben €</t>
  </si>
  <si>
    <t>Ergebnis €</t>
  </si>
  <si>
    <t>Anteil Umsatz</t>
  </si>
  <si>
    <t>Netto Einnahmen</t>
  </si>
  <si>
    <t>USt vereinnahmt</t>
  </si>
  <si>
    <t>Netto Ausgaben</t>
  </si>
  <si>
    <t>Vorsteuer</t>
  </si>
  <si>
    <t>Zahllast</t>
  </si>
  <si>
    <t>Januar</t>
  </si>
  <si>
    <t>Februar</t>
  </si>
  <si>
    <t>März</t>
  </si>
  <si>
    <t>April</t>
  </si>
  <si>
    <t>SUMME</t>
  </si>
  <si>
    <t>Mai</t>
  </si>
  <si>
    <t>Zahllast = vereinnahmte Umsatzsteuer abzüglich abziehbarer Vorsteuer (Sollversteuerung).</t>
  </si>
  <si>
    <t>Juni</t>
  </si>
  <si>
    <t>Juli</t>
  </si>
  <si>
    <t>OFFENE POSTEN UND ZAHLUNGSSTATUS</t>
  </si>
  <si>
    <t>August</t>
  </si>
  <si>
    <t>Position</t>
  </si>
  <si>
    <t>Anzahl</t>
  </si>
  <si>
    <t>Brutto gesamt</t>
  </si>
  <si>
    <t>Bereits bezahlt</t>
  </si>
  <si>
    <t>Noch offen</t>
  </si>
  <si>
    <t>Quote bezahlt</t>
  </si>
  <si>
    <t>September</t>
  </si>
  <si>
    <t>Forderungen (Einnahmen)</t>
  </si>
  <si>
    <t>Oktober</t>
  </si>
  <si>
    <t>Verbindlichkeiten (Ausgaben)</t>
  </si>
  <si>
    <t>November</t>
  </si>
  <si>
    <t>davon überfällig</t>
  </si>
  <si>
    <t>Dezember</t>
  </si>
  <si>
    <t>Buchungen gesamt / Erfassungsstand</t>
  </si>
  <si>
    <t>GESAMT</t>
  </si>
  <si>
    <t>AUSWERTUNG NACH KATEGORIE (NETTO)</t>
  </si>
  <si>
    <t>Saldo €</t>
  </si>
  <si>
    <t>Anteil</t>
  </si>
  <si>
    <t>Sonstige Betriebskosten</t>
  </si>
  <si>
    <t>Alle Werte dieses Blattes werden automatisch aus dem Blatt „Abrechnung“ berechnet. Bitte hier keine Werte überschreiben – Änderungen ausschließlich im Buchungsjournal vornehmen.</t>
  </si>
  <si>
    <t>LISTEN UND AUSWAHLWERTE</t>
  </si>
  <si>
    <t>Diese Einträge steuern die Auswahllisten im Buchungsjournal. Einträge können angepasst oder ergänzt werden. Wichtig: Wird eine Kategorie umbenannt, muss sie auch in der Kategorienanalyse des Blattes „Auswertung“ angepasst werden.</t>
  </si>
  <si>
    <t>Kategorien</t>
  </si>
  <si>
    <t>Zahlungsarten</t>
  </si>
  <si>
    <t>USt-Sätze</t>
  </si>
  <si>
    <t>Hinweis: Die Vorlage bildet die Regelbesteuerung mit 0 %, 7 % und 19 % ab. Für Kleinunternehmer nach § 19 UStG durchgehend 0 % verwenden. Weitere Steuersätze können in der Liste ergänzt und in der Umsatzsteuer-Auswertung nachgezogen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</si>
</sst>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&quot; €&quot;;[Red]\-#,##0.00&quot; €&quot;;\–"/>
    <numFmt numFmtId="166" formatCode="#,##0.00&quot; €&quot;"/>
    <numFmt numFmtId="167" formatCode="0\ %"/>
    <numFmt numFmtId="168" formatCode="#,##0.00&quot; €&quot;;\-#,##0.00&quot; €&quot;;\–"/>
    <numFmt numFmtId="169" formatCode="0.0%"/>
  </numFmts>
  <fonts count="21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sz val="11"/>
      <color rgb="FFC8D3E0"/>
      <name val="Calibri"/>
      <charset val="1"/>
    </font>
    <font>
      <b/>
      <sz val="10"/>
      <color rgb="FFFFFFFF"/>
      <name val="Calibri"/>
      <charset val="1"/>
    </font>
    <font>
      <sz val="10"/>
      <color rgb="FF5B7695"/>
      <name val="Calibri"/>
      <charset val="1"/>
    </font>
    <font>
      <b/>
      <sz val="10"/>
      <color rgb="FF1F2A37"/>
      <name val="Calibri"/>
      <charset val="1"/>
    </font>
    <font>
      <b/>
      <sz val="8.5"/>
      <color rgb="FF5B7695"/>
      <name val="Calibri"/>
      <charset val="1"/>
    </font>
    <font>
      <b/>
      <sz val="8.5"/>
      <color rgb="FFB5813C"/>
      <name val="Calibri"/>
      <charset val="1"/>
    </font>
    <font>
      <b/>
      <sz val="13"/>
      <color rgb="FF16283F"/>
      <name val="Calibri"/>
      <charset val="1"/>
    </font>
    <font>
      <b/>
      <sz val="13"/>
      <color rgb="FFB5813C"/>
      <name val="Calibri"/>
      <charset val="1"/>
    </font>
    <font>
      <sz val="10"/>
      <color rgb="FF2C4463"/>
      <name val="Calibri"/>
      <charset val="1"/>
    </font>
    <font>
      <sz val="10"/>
      <color rgb="FF1F2A37"/>
      <name val="Calibri"/>
      <charset val="1"/>
    </font>
    <font>
      <b/>
      <sz val="10"/>
      <color rgb="FF2C4463"/>
      <name val="Calibri"/>
      <charset val="1"/>
    </font>
    <font>
      <sz val="9"/>
      <color rgb="FF5B7695"/>
      <name val="Calibri"/>
      <charset val="1"/>
    </font>
    <font>
      <sz val="10"/>
      <name val="Arial"/>
      <family val="2"/>
    </font>
    <font>
      <b/>
      <sz val="9.5"/>
      <color rgb="FF2C4463"/>
      <name val="Calibri"/>
      <charset val="1"/>
    </font>
    <font>
      <i/>
      <sz val="8.5"/>
      <color rgb="FF5B7695"/>
      <name val="Calibri"/>
      <charset val="1"/>
    </font>
    <font>
      <b/>
      <sz val="10"/>
      <color rgb="FF9E2B25"/>
      <name val="Calibri"/>
      <charset val="1"/>
    </font>
    <font>
      <i/>
      <sz val="9"/>
      <color rgb="FF5B7695"/>
      <name val="Calibri"/>
      <charset val="1"/>
    </font>
    <font>
      <b/>
      <sz val="18"/>
      <color rgb="FFFFFFFF"/>
      <name val="Calibri"/>
      <charset val="1"/>
    </font>
    <font>
      <b/>
      <sz val="9.5"/>
      <color rgb="FFFFFF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6283F"/>
        <bgColor rgb="FF1F2A37"/>
      </patternFill>
    </fill>
    <fill>
      <patternFill patternType="solid">
        <fgColor rgb="FFB5813C"/>
        <bgColor rgb="FF878787"/>
      </patternFill>
    </fill>
    <fill>
      <patternFill patternType="solid">
        <fgColor rgb="FF2C4463"/>
        <bgColor rgb="FF1F2A37"/>
      </patternFill>
    </fill>
    <fill>
      <patternFill patternType="solid">
        <fgColor rgb="FFFFFBF3"/>
        <bgColor rgb="FFFFFFFF"/>
      </patternFill>
    </fill>
    <fill>
      <patternFill patternType="solid">
        <fgColor rgb="FFEEF1F5"/>
        <bgColor rgb="FFF7F8FA"/>
      </patternFill>
    </fill>
    <fill>
      <patternFill patternType="solid">
        <fgColor rgb="FFF6EBD8"/>
        <bgColor rgb="FFFBEFD6"/>
      </patternFill>
    </fill>
    <fill>
      <patternFill patternType="solid">
        <fgColor rgb="FFF7F8FA"/>
        <bgColor rgb="FFFFFBF3"/>
      </patternFill>
    </fill>
    <fill>
      <patternFill patternType="solid">
        <fgColor rgb="FFF7E2E0"/>
        <bgColor rgb="FFF6EBD8"/>
      </patternFill>
    </fill>
    <fill>
      <patternFill patternType="solid">
        <fgColor rgb="FFFFFFFF"/>
        <bgColor rgb="FFFFFBF3"/>
      </patternFill>
    </fill>
  </fills>
  <borders count="7">
    <border>
      <left/>
      <right/>
      <top/>
      <bottom/>
      <diagonal/>
    </border>
    <border>
      <left style="hair">
        <color rgb="FFC9D2DC"/>
      </left>
      <right style="hair">
        <color rgb="FFC9D2DC"/>
      </right>
      <top style="hair">
        <color rgb="FFC9D2DC"/>
      </top>
      <bottom style="hair">
        <color rgb="FFC9D2DC"/>
      </bottom>
      <diagonal/>
    </border>
    <border>
      <left style="thin">
        <color rgb="FFC9D2DC"/>
      </left>
      <right style="thin">
        <color rgb="FFC9D2DC"/>
      </right>
      <top style="thin">
        <color rgb="FF8FA2B6"/>
      </top>
      <bottom/>
      <diagonal/>
    </border>
    <border>
      <left style="thin">
        <color rgb="FFC9D2DC"/>
      </left>
      <right style="thin">
        <color rgb="FFC9D2DC"/>
      </right>
      <top/>
      <bottom style="thin">
        <color rgb="FFC9D2DC"/>
      </bottom>
      <diagonal/>
    </border>
    <border>
      <left style="thin">
        <color rgb="FF2C4463"/>
      </left>
      <right style="thin">
        <color rgb="FF2C4463"/>
      </right>
      <top/>
      <bottom style="medium">
        <color rgb="FFB5813C"/>
      </bottom>
      <diagonal/>
    </border>
    <border>
      <left/>
      <right/>
      <top style="medium">
        <color rgb="FFB5813C"/>
      </top>
      <bottom/>
      <diagonal/>
    </border>
    <border>
      <left/>
      <right/>
      <top/>
      <bottom style="thin">
        <color rgb="FFB5813C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8" fillId="0" borderId="0" xfId="0" applyFont="1" applyAlignment="1">
      <alignment vertical="top" wrapText="1" indent="1"/>
    </xf>
    <xf numFmtId="0" fontId="16" fillId="0" borderId="0" xfId="0" applyFont="1" applyAlignment="1">
      <alignment indent="1"/>
    </xf>
    <xf numFmtId="0" fontId="13" fillId="0" borderId="0" xfId="0" applyFont="1" applyAlignment="1">
      <alignment horizontal="left" vertical="center" indent="1"/>
    </xf>
    <xf numFmtId="0" fontId="3" fillId="4" borderId="5" xfId="0" applyFont="1" applyFill="1" applyBorder="1" applyAlignment="1">
      <alignment horizontal="left" vertical="center" indent="1"/>
    </xf>
    <xf numFmtId="165" fontId="9" fillId="7" borderId="3" xfId="0" applyNumberFormat="1" applyFont="1" applyFill="1" applyBorder="1" applyAlignment="1">
      <alignment horizontal="left" vertical="top" indent="1"/>
    </xf>
    <xf numFmtId="165" fontId="8" fillId="6" borderId="3" xfId="0" applyNumberFormat="1" applyFont="1" applyFill="1" applyBorder="1" applyAlignment="1">
      <alignment horizontal="left" vertical="top" indent="1"/>
    </xf>
    <xf numFmtId="164" fontId="5" fillId="5" borderId="1" xfId="0" applyNumberFormat="1" applyFont="1" applyFill="1" applyBorder="1" applyAlignment="1">
      <alignment horizontal="left" vertical="center" indent="1"/>
    </xf>
    <xf numFmtId="0" fontId="7" fillId="7" borderId="2" xfId="0" applyFont="1" applyFill="1" applyBorder="1" applyAlignment="1">
      <alignment horizontal="left" indent="1"/>
    </xf>
    <xf numFmtId="0" fontId="6" fillId="6" borderId="2" xfId="0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4" fillId="0" borderId="0" xfId="0" applyFont="1" applyAlignment="1">
      <alignment horizontal="left" vertical="center" indent="1"/>
    </xf>
    <xf numFmtId="0" fontId="3" fillId="4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166" fontId="11" fillId="5" borderId="1" xfId="0" applyNumberFormat="1" applyFont="1" applyFill="1" applyBorder="1" applyAlignment="1">
      <alignment horizontal="right" indent="1"/>
    </xf>
    <xf numFmtId="167" fontId="11" fillId="5" borderId="1" xfId="0" applyNumberFormat="1" applyFont="1" applyFill="1" applyBorder="1" applyAlignment="1">
      <alignment horizontal="center"/>
    </xf>
    <xf numFmtId="168" fontId="10" fillId="6" borderId="1" xfId="0" applyNumberFormat="1" applyFont="1" applyFill="1" applyBorder="1" applyAlignment="1">
      <alignment horizontal="right" indent="1"/>
    </xf>
    <xf numFmtId="166" fontId="12" fillId="6" borderId="1" xfId="0" applyNumberFormat="1" applyFont="1" applyFill="1" applyBorder="1" applyAlignment="1">
      <alignment horizontal="right" indent="1"/>
    </xf>
    <xf numFmtId="168" fontId="11" fillId="5" borderId="1" xfId="0" applyNumberFormat="1" applyFont="1" applyFill="1" applyBorder="1" applyAlignment="1">
      <alignment horizontal="right" indent="1"/>
    </xf>
    <xf numFmtId="166" fontId="3" fillId="4" borderId="5" xfId="0" applyNumberFormat="1" applyFont="1" applyFill="1" applyBorder="1"/>
    <xf numFmtId="0" fontId="3" fillId="4" borderId="5" xfId="0" applyFont="1" applyFill="1" applyBorder="1"/>
    <xf numFmtId="0" fontId="15" fillId="7" borderId="6" xfId="0" applyFont="1" applyFill="1" applyBorder="1" applyAlignment="1">
      <alignment horizontal="left" vertical="center" wrapText="1" indent="1"/>
    </xf>
    <xf numFmtId="0" fontId="15" fillId="7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indent="1"/>
    </xf>
    <xf numFmtId="168" fontId="11" fillId="0" borderId="1" xfId="0" applyNumberFormat="1" applyFont="1" applyBorder="1"/>
    <xf numFmtId="165" fontId="11" fillId="0" borderId="1" xfId="0" applyNumberFormat="1" applyFont="1" applyBorder="1"/>
    <xf numFmtId="169" fontId="4" fillId="0" borderId="1" xfId="0" applyNumberFormat="1" applyFont="1" applyBorder="1"/>
    <xf numFmtId="167" fontId="0" fillId="0" borderId="1" xfId="0" applyNumberFormat="1" applyBorder="1" applyAlignment="1">
      <alignment horizontal="left" indent="1"/>
    </xf>
    <xf numFmtId="0" fontId="11" fillId="8" borderId="1" xfId="0" applyFont="1" applyFill="1" applyBorder="1" applyAlignment="1">
      <alignment vertical="center" indent="1"/>
    </xf>
    <xf numFmtId="168" fontId="11" fillId="8" borderId="1" xfId="0" applyNumberFormat="1" applyFont="1" applyFill="1" applyBorder="1"/>
    <xf numFmtId="165" fontId="11" fillId="8" borderId="1" xfId="0" applyNumberFormat="1" applyFont="1" applyFill="1" applyBorder="1"/>
    <xf numFmtId="169" fontId="4" fillId="8" borderId="1" xfId="0" applyNumberFormat="1" applyFont="1" applyFill="1" applyBorder="1"/>
    <xf numFmtId="167" fontId="0" fillId="8" borderId="1" xfId="0" applyNumberFormat="1" applyFill="1" applyBorder="1" applyAlignment="1">
      <alignment horizontal="left" indent="1"/>
    </xf>
    <xf numFmtId="0" fontId="3" fillId="4" borderId="5" xfId="0" applyFont="1" applyFill="1" applyBorder="1" applyAlignment="1">
      <alignment vertical="center" indent="1"/>
    </xf>
    <xf numFmtId="168" fontId="3" fillId="4" borderId="5" xfId="0" applyNumberFormat="1" applyFont="1" applyFill="1" applyBorder="1"/>
    <xf numFmtId="1" fontId="11" fillId="0" borderId="1" xfId="0" applyNumberFormat="1" applyFont="1" applyBorder="1" applyAlignment="1">
      <alignment horizontal="center"/>
    </xf>
    <xf numFmtId="169" fontId="11" fillId="0" borderId="1" xfId="0" applyNumberFormat="1" applyFont="1" applyBorder="1"/>
    <xf numFmtId="1" fontId="11" fillId="8" borderId="1" xfId="0" applyNumberFormat="1" applyFont="1" applyFill="1" applyBorder="1" applyAlignment="1">
      <alignment horizontal="center"/>
    </xf>
    <xf numFmtId="169" fontId="11" fillId="8" borderId="1" xfId="0" applyNumberFormat="1" applyFont="1" applyFill="1" applyBorder="1"/>
    <xf numFmtId="0" fontId="17" fillId="9" borderId="1" xfId="0" applyFont="1" applyFill="1" applyBorder="1" applyAlignment="1">
      <alignment vertical="center" indent="1"/>
    </xf>
    <xf numFmtId="1" fontId="17" fillId="9" borderId="1" xfId="0" applyNumberFormat="1" applyFont="1" applyFill="1" applyBorder="1" applyAlignment="1">
      <alignment horizontal="center"/>
    </xf>
    <xf numFmtId="168" fontId="17" fillId="9" borderId="1" xfId="0" applyNumberFormat="1" applyFont="1" applyFill="1" applyBorder="1"/>
    <xf numFmtId="169" fontId="17" fillId="9" borderId="1" xfId="0" applyNumberFormat="1" applyFont="1" applyFill="1" applyBorder="1"/>
    <xf numFmtId="1" fontId="3" fillId="4" borderId="5" xfId="0" applyNumberFormat="1" applyFont="1" applyFill="1" applyBorder="1" applyAlignment="1">
      <alignment horizontal="center"/>
    </xf>
    <xf numFmtId="169" fontId="3" fillId="4" borderId="5" xfId="0" applyNumberFormat="1" applyFont="1" applyFill="1" applyBorder="1"/>
    <xf numFmtId="0" fontId="20" fillId="4" borderId="0" xfId="0" applyFont="1" applyFill="1" applyAlignment="1">
      <alignment horizontal="left" vertical="center" indent="1"/>
    </xf>
    <xf numFmtId="0" fontId="11" fillId="5" borderId="1" xfId="0" applyFont="1" applyFill="1" applyBorder="1" applyAlignment="1">
      <alignment vertical="center" indent="1"/>
    </xf>
    <xf numFmtId="167" fontId="11" fillId="5" borderId="1" xfId="0" applyNumberFormat="1" applyFont="1" applyFill="1" applyBorder="1" applyAlignment="1">
      <alignment vertical="center" indent="1"/>
    </xf>
    <xf numFmtId="0" fontId="11" fillId="10" borderId="1" xfId="0" applyFont="1" applyFill="1" applyBorder="1" applyAlignment="1">
      <alignment vertical="center" indent="1"/>
    </xf>
    <xf numFmtId="167" fontId="11" fillId="10" borderId="1" xfId="0" applyNumberFormat="1" applyFont="1" applyFill="1" applyBorder="1" applyAlignment="1">
      <alignment vertical="center" indent="1"/>
    </xf>
    <xf numFmtId="0" fontId="19" fillId="2" borderId="0" xfId="0" applyFont="1" applyFill="1" applyAlignment="1">
      <alignment horizontal="left" vertical="center" indent="1"/>
    </xf>
    <xf numFmtId="0" fontId="18" fillId="0" borderId="0" xfId="0" applyFont="1" applyAlignment="1">
      <alignment vertical="center" wrapText="1" indent="1"/>
    </xf>
  </cellXfs>
  <cellStyles count="1">
    <cellStyle name="Standard" xfId="0" builtinId="0"/>
  </cellStyles>
  <dxfs count="7">
    <dxf>
      <font>
        <sz val="10"/>
        <color rgb="FF9E2B25"/>
        <name val="Calibri"/>
        <charset val="1"/>
      </font>
    </dxf>
    <dxf>
      <font>
        <b/>
        <sz val="10"/>
        <color rgb="FF9E2B25"/>
        <name val="Calibri"/>
        <charset val="1"/>
      </font>
      <fill>
        <patternFill>
          <bgColor rgb="FFF2C9C5"/>
        </patternFill>
      </fill>
    </dxf>
    <dxf>
      <font>
        <b/>
        <sz val="10"/>
        <color rgb="FF8A5A12"/>
        <name val="Calibri"/>
        <charset val="1"/>
      </font>
      <fill>
        <patternFill>
          <bgColor rgb="FFFBEFD6"/>
        </patternFill>
      </fill>
    </dxf>
    <dxf>
      <font>
        <b/>
        <sz val="10"/>
        <color rgb="FF2C4463"/>
        <name val="Calibri"/>
        <charset val="1"/>
      </font>
      <fill>
        <patternFill>
          <bgColor rgb="FFE3EAF3"/>
        </patternFill>
      </fill>
    </dxf>
    <dxf>
      <font>
        <sz val="10"/>
        <color rgb="FF2C4463"/>
        <name val="Calibri"/>
        <charset val="1"/>
      </font>
    </dxf>
    <dxf>
      <font>
        <sz val="10"/>
        <color rgb="FF9E2B25"/>
        <name val="Calibri"/>
        <charset val="1"/>
      </font>
    </dxf>
    <dxf>
      <fill>
        <patternFill>
          <bgColor rgb="FFF7E2E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2"/>
      <rgbColor rgb="FF800080"/>
      <rgbColor rgb="FF008080"/>
      <rgbColor rgb="FFC9D2DC"/>
      <rgbColor rgb="FF878787"/>
      <rgbColor rgb="FF9999FF"/>
      <rgbColor rgb="FF993366"/>
      <rgbColor rgb="FFFBEFD6"/>
      <rgbColor rgb="FFE3EAF3"/>
      <rgbColor rgb="FF660066"/>
      <rgbColor rgb="FFB5813C"/>
      <rgbColor rgb="FF0066CC"/>
      <rgbColor rgb="FFC8D3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5"/>
      <rgbColor rgb="FFF7F8FA"/>
      <rgbColor rgb="FFF6EBD8"/>
      <rgbColor rgb="FFD9D9D9"/>
      <rgbColor rgb="FFF7E2E0"/>
      <rgbColor rgb="FFFFFBF3"/>
      <rgbColor rgb="FFF2C9C5"/>
      <rgbColor rgb="FF3366FF"/>
      <rgbColor rgb="FF33CCCC"/>
      <rgbColor rgb="FF99CC00"/>
      <rgbColor rgb="FFFFCC00"/>
      <rgbColor rgb="FFFF9900"/>
      <rgbColor rgb="FFFF6600"/>
      <rgbColor rgb="FF5B7695"/>
      <rgbColor rgb="FF8FA2B6"/>
      <rgbColor rgb="FF16283F"/>
      <rgbColor rgb="FF339966"/>
      <rgbColor rgb="FF003300"/>
      <rgbColor rgb="FF333300"/>
      <rgbColor rgb="FF9E2B25"/>
      <rgbColor rgb="FF993366"/>
      <rgbColor rgb="FF2C4463"/>
      <rgbColor rgb="FF1F2A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Einnahmen und Ausgaben je Monat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Auswertung!$C$7</c:f>
              <c:strCache>
                <c:ptCount val="1"/>
                <c:pt idx="0">
                  <c:v>Einnahmen €</c:v>
                </c:pt>
              </c:strCache>
            </c:strRef>
          </c:tx>
          <c:spPr>
            <a:solidFill>
              <a:srgbClr val="2C4463"/>
            </a:solidFill>
            <a:ln w="0">
              <a:solidFill>
                <a:srgbClr val="2C4463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Auswertung!$B$8:$B$19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Auswertung!$C$8:$C$19</c:f>
              <c:numCache>
                <c:formatCode>#,##0.00" €";\-#,##0.00" €";\–</c:formatCode>
                <c:ptCount val="12"/>
                <c:pt idx="0">
                  <c:v>5580</c:v>
                </c:pt>
                <c:pt idx="1">
                  <c:v>950</c:v>
                </c:pt>
                <c:pt idx="2">
                  <c:v>7390</c:v>
                </c:pt>
                <c:pt idx="3">
                  <c:v>1800</c:v>
                </c:pt>
                <c:pt idx="4">
                  <c:v>5240</c:v>
                </c:pt>
                <c:pt idx="5">
                  <c:v>4215</c:v>
                </c:pt>
                <c:pt idx="6">
                  <c:v>2400</c:v>
                </c:pt>
                <c:pt idx="7">
                  <c:v>4120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1-47B9-8C89-295C5D648186}"/>
            </c:ext>
          </c:extLst>
        </c:ser>
        <c:ser>
          <c:idx val="1"/>
          <c:order val="1"/>
          <c:tx>
            <c:strRef>
              <c:f>Auswertung!$D$7</c:f>
              <c:strCache>
                <c:ptCount val="1"/>
                <c:pt idx="0">
                  <c:v>Ausgaben €</c:v>
                </c:pt>
              </c:strCache>
            </c:strRef>
          </c:tx>
          <c:spPr>
            <a:solidFill>
              <a:srgbClr val="B5813C"/>
            </a:solidFill>
            <a:ln w="0">
              <a:solidFill>
                <a:srgbClr val="B5813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Auswertung!$B$8:$B$19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Auswertung!$D$8:$D$19</c:f>
              <c:numCache>
                <c:formatCode>#,##0.00" €";\-#,##0.00" €";\–</c:formatCode>
                <c:ptCount val="12"/>
                <c:pt idx="0">
                  <c:v>1990</c:v>
                </c:pt>
                <c:pt idx="1">
                  <c:v>4568</c:v>
                </c:pt>
                <c:pt idx="2">
                  <c:v>906.4</c:v>
                </c:pt>
                <c:pt idx="3">
                  <c:v>796.9</c:v>
                </c:pt>
                <c:pt idx="4">
                  <c:v>1588.5</c:v>
                </c:pt>
                <c:pt idx="5">
                  <c:v>2380</c:v>
                </c:pt>
                <c:pt idx="6">
                  <c:v>437.8</c:v>
                </c:pt>
                <c:pt idx="7">
                  <c:v>560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D1-47B9-8C89-295C5D648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12"/>
        <c:axId val="18427649"/>
        <c:axId val="7468997"/>
      </c:barChart>
      <c:catAx>
        <c:axId val="184276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68997"/>
        <c:crosses val="autoZero"/>
        <c:auto val="1"/>
        <c:lblAlgn val="ctr"/>
        <c:lblOffset val="100"/>
        <c:noMultiLvlLbl val="0"/>
      </c:catAx>
      <c:valAx>
        <c:axId val="74689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842764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Ausgaben nach Kategorie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Auswertung!$D$23</c:f>
              <c:strCache>
                <c:ptCount val="1"/>
                <c:pt idx="0">
                  <c:v>Ausgaben €</c:v>
                </c:pt>
              </c:strCache>
            </c:strRef>
          </c:tx>
          <c:spPr>
            <a:solidFill>
              <a:srgbClr val="2C4463"/>
            </a:solidFill>
            <a:ln w="0">
              <a:solidFill>
                <a:srgbClr val="2C4463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Auswertung!$B$24:$B$39</c:f>
              <c:strCache>
                <c:ptCount val="16"/>
                <c:pt idx="0">
                  <c:v>Warenerlöse</c:v>
                </c:pt>
                <c:pt idx="1">
                  <c:v>Dienstleistungserlöse</c:v>
                </c:pt>
                <c:pt idx="2">
                  <c:v>Sonstige Erträge</c:v>
                </c:pt>
                <c:pt idx="3">
                  <c:v>Wareneinsatz</c:v>
                </c:pt>
                <c:pt idx="4">
                  <c:v>Personalkosten</c:v>
                </c:pt>
                <c:pt idx="5">
                  <c:v>Raumkosten</c:v>
                </c:pt>
                <c:pt idx="6">
                  <c:v>Fahrzeugkosten</c:v>
                </c:pt>
                <c:pt idx="7">
                  <c:v>Reisekosten</c:v>
                </c:pt>
                <c:pt idx="8">
                  <c:v>Bürobedarf</c:v>
                </c:pt>
                <c:pt idx="9">
                  <c:v>IT &amp; Software</c:v>
                </c:pt>
                <c:pt idx="10">
                  <c:v>Marketing</c:v>
                </c:pt>
                <c:pt idx="11">
                  <c:v>Versicherungen &amp; Beiträge</c:v>
                </c:pt>
                <c:pt idx="12">
                  <c:v>Beratungskosten</c:v>
                </c:pt>
                <c:pt idx="13">
                  <c:v>Fortbildung</c:v>
                </c:pt>
                <c:pt idx="14">
                  <c:v>Bankgebühren</c:v>
                </c:pt>
                <c:pt idx="15">
                  <c:v>Sonstige Betriebskosten</c:v>
                </c:pt>
              </c:strCache>
            </c:strRef>
          </c:cat>
          <c:val>
            <c:numRef>
              <c:f>Auswertung!$D$24:$D$39</c:f>
              <c:numCache>
                <c:formatCode>#,##0.00" €";\-#,##0.00" €";\–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4340</c:v>
                </c:pt>
                <c:pt idx="4">
                  <c:v>2480</c:v>
                </c:pt>
                <c:pt idx="5">
                  <c:v>1710</c:v>
                </c:pt>
                <c:pt idx="6">
                  <c:v>216.4</c:v>
                </c:pt>
                <c:pt idx="7">
                  <c:v>238.5</c:v>
                </c:pt>
                <c:pt idx="8">
                  <c:v>184.9</c:v>
                </c:pt>
                <c:pt idx="9">
                  <c:v>840</c:v>
                </c:pt>
                <c:pt idx="10">
                  <c:v>690</c:v>
                </c:pt>
                <c:pt idx="11">
                  <c:v>612</c:v>
                </c:pt>
                <c:pt idx="12">
                  <c:v>1350</c:v>
                </c:pt>
                <c:pt idx="13">
                  <c:v>523</c:v>
                </c:pt>
                <c:pt idx="14">
                  <c:v>42.8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E-42CA-9258-2EF78D3FB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67209121"/>
        <c:axId val="80798770"/>
      </c:barChart>
      <c:catAx>
        <c:axId val="6720912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0798770"/>
        <c:crosses val="autoZero"/>
        <c:auto val="1"/>
        <c:lblAlgn val="ctr"/>
        <c:lblOffset val="100"/>
        <c:noMultiLvlLbl val="0"/>
      </c:catAx>
      <c:valAx>
        <c:axId val="8079877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720912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21</xdr:row>
      <xdr:rowOff>0</xdr:rowOff>
    </xdr:from>
    <xdr:to>
      <xdr:col>14</xdr:col>
      <xdr:colOff>387720</xdr:colOff>
      <xdr:row>33</xdr:row>
      <xdr:rowOff>25200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37</xdr:row>
      <xdr:rowOff>0</xdr:rowOff>
    </xdr:from>
    <xdr:to>
      <xdr:col>14</xdr:col>
      <xdr:colOff>387720</xdr:colOff>
      <xdr:row>54</xdr:row>
      <xdr:rowOff>122040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6283F"/>
    <pageSetUpPr fitToPage="1"/>
  </sheetPr>
  <dimension ref="B1:Q122"/>
  <sheetViews>
    <sheetView showGridLines="0" tabSelected="1" zoomScaleNormal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G61" sqref="G61"/>
    </sheetView>
  </sheetViews>
  <sheetFormatPr baseColWidth="10" defaultColWidth="8.7109375" defaultRowHeight="15" x14ac:dyDescent="0.25"/>
  <cols>
    <col min="1" max="1" width="2.140625" customWidth="1"/>
    <col min="2" max="2" width="8" bestFit="1" customWidth="1"/>
    <col min="3" max="3" width="10.85546875" bestFit="1" customWidth="1"/>
    <col min="4" max="4" width="12.85546875" bestFit="1" customWidth="1"/>
    <col min="5" max="5" width="29.85546875" bestFit="1" customWidth="1"/>
    <col min="6" max="6" width="24.28515625" bestFit="1" customWidth="1"/>
    <col min="7" max="7" width="22" customWidth="1"/>
    <col min="8" max="8" width="8.7109375" bestFit="1" customWidth="1"/>
    <col min="9" max="9" width="11.7109375" bestFit="1" customWidth="1"/>
    <col min="10" max="10" width="12" bestFit="1" customWidth="1"/>
    <col min="11" max="11" width="9.7109375" bestFit="1" customWidth="1"/>
    <col min="12" max="12" width="12.140625" bestFit="1" customWidth="1"/>
    <col min="13" max="13" width="14.5703125" customWidth="1"/>
    <col min="14" max="14" width="12.28515625" bestFit="1" customWidth="1"/>
    <col min="15" max="15" width="12.7109375" bestFit="1" customWidth="1"/>
    <col min="16" max="16" width="11.42578125" bestFit="1" customWidth="1"/>
    <col min="17" max="17" width="10.42578125" bestFit="1" customWidth="1"/>
    <col min="18" max="18" width="2.140625" customWidth="1"/>
  </cols>
  <sheetData>
    <row r="1" spans="2:17" ht="6" customHeight="1" x14ac:dyDescent="0.25"/>
    <row r="2" spans="2:17" ht="25.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3" t="s">
        <v>1</v>
      </c>
      <c r="L2" s="13"/>
      <c r="M2" s="13"/>
      <c r="N2" s="13"/>
      <c r="O2" s="13"/>
      <c r="P2" s="13"/>
      <c r="Q2" s="13"/>
    </row>
    <row r="3" spans="2:17" ht="15.7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3"/>
      <c r="L3" s="13"/>
      <c r="M3" s="13"/>
      <c r="N3" s="13"/>
      <c r="O3" s="13"/>
      <c r="P3" s="13"/>
      <c r="Q3" s="13"/>
    </row>
    <row r="4" spans="2:17" ht="4.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2:17" ht="6" customHeight="1" x14ac:dyDescent="0.25"/>
    <row r="6" spans="2:17" ht="18.75" customHeight="1" x14ac:dyDescent="0.25">
      <c r="B6" s="12" t="s">
        <v>2</v>
      </c>
      <c r="C6" s="12"/>
      <c r="D6" s="12"/>
      <c r="E6" s="12"/>
      <c r="F6" s="12" t="s">
        <v>3</v>
      </c>
      <c r="G6" s="12"/>
      <c r="H6" s="12"/>
      <c r="I6" s="12" t="s">
        <v>4</v>
      </c>
      <c r="J6" s="12"/>
      <c r="K6" s="12"/>
      <c r="L6" s="12"/>
      <c r="M6" s="12"/>
      <c r="N6" s="12"/>
      <c r="O6" s="12"/>
      <c r="P6" s="12"/>
      <c r="Q6" s="12"/>
    </row>
    <row r="7" spans="2:17" ht="15.75" customHeight="1" x14ac:dyDescent="0.25">
      <c r="B7" s="11" t="s">
        <v>5</v>
      </c>
      <c r="C7" s="11"/>
      <c r="D7" s="10" t="s">
        <v>6</v>
      </c>
      <c r="E7" s="10"/>
      <c r="F7" s="16" t="s">
        <v>7</v>
      </c>
      <c r="G7" s="10" t="s">
        <v>8</v>
      </c>
      <c r="H7" s="10"/>
      <c r="I7" s="9" t="s">
        <v>9</v>
      </c>
      <c r="J7" s="9"/>
      <c r="K7" s="9"/>
      <c r="L7" s="9" t="s">
        <v>10</v>
      </c>
      <c r="M7" s="9"/>
      <c r="N7" s="9"/>
      <c r="O7" s="8" t="s">
        <v>11</v>
      </c>
      <c r="P7" s="8"/>
      <c r="Q7" s="8"/>
    </row>
    <row r="8" spans="2:17" ht="21.75" customHeight="1" x14ac:dyDescent="0.25">
      <c r="B8" s="11" t="s">
        <v>12</v>
      </c>
      <c r="C8" s="11"/>
      <c r="D8" s="10" t="s">
        <v>13</v>
      </c>
      <c r="E8" s="10"/>
      <c r="F8" s="16" t="s">
        <v>14</v>
      </c>
      <c r="G8" s="7">
        <v>46023</v>
      </c>
      <c r="H8" s="7"/>
      <c r="I8" s="6">
        <f>SUMIFS($I$14:$I$113,$H$14:$H$113,"Einnahme")</f>
        <v>31695</v>
      </c>
      <c r="J8" s="6"/>
      <c r="K8" s="6"/>
      <c r="L8" s="6">
        <f>SUMIFS($I$14:$I$113,$H$14:$H$113,"Ausgabe")</f>
        <v>13227.599999999999</v>
      </c>
      <c r="M8" s="6"/>
      <c r="N8" s="6"/>
      <c r="O8" s="5">
        <f>SUMIFS($I$14:$I$113,$H$14:$H$113,"Einnahme")-SUMIFS($I$14:$I$113,$H$14:$H$113,"Ausgabe")</f>
        <v>18467.400000000001</v>
      </c>
      <c r="P8" s="5"/>
      <c r="Q8" s="5"/>
    </row>
    <row r="9" spans="2:17" ht="16.5" customHeight="1" x14ac:dyDescent="0.25">
      <c r="B9" s="11" t="s">
        <v>15</v>
      </c>
      <c r="C9" s="11"/>
      <c r="D9" s="10" t="s">
        <v>16</v>
      </c>
      <c r="E9" s="10"/>
      <c r="F9" s="16" t="s">
        <v>17</v>
      </c>
      <c r="G9" s="7">
        <v>46387</v>
      </c>
      <c r="H9" s="7"/>
    </row>
    <row r="10" spans="2:17" ht="15.75" customHeight="1" x14ac:dyDescent="0.25">
      <c r="B10" s="11" t="s">
        <v>18</v>
      </c>
      <c r="C10" s="11"/>
      <c r="D10" s="10" t="s">
        <v>19</v>
      </c>
      <c r="E10" s="10"/>
      <c r="F10" s="16" t="s">
        <v>20</v>
      </c>
      <c r="G10" s="7">
        <v>46255</v>
      </c>
      <c r="H10" s="7"/>
      <c r="I10" s="9" t="s">
        <v>21</v>
      </c>
      <c r="J10" s="9"/>
      <c r="K10" s="9"/>
      <c r="L10" s="9" t="s">
        <v>22</v>
      </c>
      <c r="M10" s="9"/>
      <c r="N10" s="9"/>
      <c r="O10" s="9" t="s">
        <v>23</v>
      </c>
      <c r="P10" s="9"/>
      <c r="Q10" s="9"/>
    </row>
    <row r="11" spans="2:17" ht="21.75" customHeight="1" x14ac:dyDescent="0.25">
      <c r="B11" s="11" t="s">
        <v>24</v>
      </c>
      <c r="C11" s="11"/>
      <c r="D11" s="10" t="s">
        <v>25</v>
      </c>
      <c r="E11" s="10"/>
      <c r="F11" s="16" t="s">
        <v>26</v>
      </c>
      <c r="G11" s="10" t="s">
        <v>27</v>
      </c>
      <c r="H11" s="10"/>
      <c r="I11" s="6">
        <f>SUMIFS($K$14:$K$113,$H$14:$H$113,"Einnahme")-SUMIFS($K$14:$K$113,$H$14:$H$113,"Ausgabe")</f>
        <v>4307.04</v>
      </c>
      <c r="J11" s="6"/>
      <c r="K11" s="6"/>
      <c r="L11" s="6">
        <f>SUMIFS($P$14:$P$113,$H$14:$H$113,"Einnahme")</f>
        <v>10399.799999999999</v>
      </c>
      <c r="M11" s="6"/>
      <c r="N11" s="6"/>
      <c r="O11" s="6">
        <f>SUMIFS($P$14:$P$113,$H$14:$H$113,"Ausgabe")</f>
        <v>666.4</v>
      </c>
      <c r="P11" s="6"/>
      <c r="Q11" s="6"/>
    </row>
    <row r="12" spans="2:17" ht="7.5" customHeight="1" x14ac:dyDescent="0.25"/>
    <row r="13" spans="2:17" ht="30" customHeight="1" x14ac:dyDescent="0.25">
      <c r="B13" s="17" t="s">
        <v>28</v>
      </c>
      <c r="C13" s="17" t="s">
        <v>29</v>
      </c>
      <c r="D13" s="17" t="s">
        <v>30</v>
      </c>
      <c r="E13" s="17" t="s">
        <v>31</v>
      </c>
      <c r="F13" s="17" t="s">
        <v>32</v>
      </c>
      <c r="G13" s="17" t="s">
        <v>33</v>
      </c>
      <c r="H13" s="17" t="s">
        <v>34</v>
      </c>
      <c r="I13" s="17" t="s">
        <v>35</v>
      </c>
      <c r="J13" s="17" t="s">
        <v>36</v>
      </c>
      <c r="K13" s="17" t="s">
        <v>37</v>
      </c>
      <c r="L13" s="17" t="s">
        <v>38</v>
      </c>
      <c r="M13" s="17" t="s">
        <v>39</v>
      </c>
      <c r="N13" s="17" t="s">
        <v>40</v>
      </c>
      <c r="O13" s="17" t="s">
        <v>41</v>
      </c>
      <c r="P13" s="17" t="s">
        <v>42</v>
      </c>
      <c r="Q13" s="17" t="s">
        <v>43</v>
      </c>
    </row>
    <row r="14" spans="2:17" ht="16.5" customHeight="1" x14ac:dyDescent="0.25">
      <c r="B14" s="18">
        <f>IF($C14="","",COUNT($C$14:$C14))</f>
        <v>1</v>
      </c>
      <c r="C14" s="19">
        <v>46030</v>
      </c>
      <c r="D14" s="20" t="s">
        <v>44</v>
      </c>
      <c r="E14" s="20" t="s">
        <v>45</v>
      </c>
      <c r="F14" s="20" t="s">
        <v>46</v>
      </c>
      <c r="G14" s="20" t="s">
        <v>47</v>
      </c>
      <c r="H14" s="21" t="s">
        <v>48</v>
      </c>
      <c r="I14" s="22">
        <v>2400</v>
      </c>
      <c r="J14" s="23">
        <v>0.19</v>
      </c>
      <c r="K14" s="24">
        <f t="shared" ref="K14:K45" si="0">IF($I14="","",ROUND($I14*$J14,2))</f>
        <v>456</v>
      </c>
      <c r="L14" s="25">
        <f t="shared" ref="L14:L45" si="1">IF($I14="","",ROUND($I14+$K14,2))</f>
        <v>2856</v>
      </c>
      <c r="M14" s="20" t="s">
        <v>49</v>
      </c>
      <c r="N14" s="19">
        <v>46044</v>
      </c>
      <c r="O14" s="26">
        <v>2856</v>
      </c>
      <c r="P14" s="24">
        <f t="shared" ref="P14:P45" si="2">IF($I14="","",MAX(0,ROUND($L14-$O14,2)))</f>
        <v>0</v>
      </c>
      <c r="Q14" s="18" t="str">
        <f t="shared" ref="Q14:Q45" ca="1" si="3">IF($I14="","",IF($O14&gt;=$L14,"Bezahlt",IF($O14&gt;0,"Teilzahlung",IF(AND($N14&lt;&gt;"",$N14&lt;TODAY()),"Überfällig","Offen"))))</f>
        <v>Bezahlt</v>
      </c>
    </row>
    <row r="15" spans="2:17" ht="16.5" customHeight="1" x14ac:dyDescent="0.25">
      <c r="B15" s="18">
        <f>IF($C15="","",COUNT($C$14:$C15))</f>
        <v>2</v>
      </c>
      <c r="C15" s="19">
        <v>46034</v>
      </c>
      <c r="D15" s="20" t="s">
        <v>50</v>
      </c>
      <c r="E15" s="20" t="s">
        <v>51</v>
      </c>
      <c r="F15" s="20" t="s">
        <v>52</v>
      </c>
      <c r="G15" s="20" t="s">
        <v>53</v>
      </c>
      <c r="H15" s="21" t="s">
        <v>54</v>
      </c>
      <c r="I15" s="22">
        <v>1150</v>
      </c>
      <c r="J15" s="23">
        <v>0</v>
      </c>
      <c r="K15" s="24">
        <f t="shared" si="0"/>
        <v>0</v>
      </c>
      <c r="L15" s="25">
        <f t="shared" si="1"/>
        <v>1150</v>
      </c>
      <c r="M15" s="20" t="s">
        <v>55</v>
      </c>
      <c r="N15" s="19">
        <v>46037</v>
      </c>
      <c r="O15" s="26">
        <v>1150</v>
      </c>
      <c r="P15" s="24">
        <f t="shared" si="2"/>
        <v>0</v>
      </c>
      <c r="Q15" s="18" t="str">
        <f t="shared" ca="1" si="3"/>
        <v>Bezahlt</v>
      </c>
    </row>
    <row r="16" spans="2:17" ht="16.5" customHeight="1" x14ac:dyDescent="0.25">
      <c r="B16" s="18">
        <f>IF($C16="","",COUNT($C$14:$C16))</f>
        <v>3</v>
      </c>
      <c r="C16" s="19">
        <v>46041</v>
      </c>
      <c r="D16" s="20" t="s">
        <v>56</v>
      </c>
      <c r="E16" s="20" t="s">
        <v>57</v>
      </c>
      <c r="F16" s="20" t="s">
        <v>58</v>
      </c>
      <c r="G16" s="20" t="s">
        <v>59</v>
      </c>
      <c r="H16" s="21" t="s">
        <v>48</v>
      </c>
      <c r="I16" s="22">
        <v>3180</v>
      </c>
      <c r="J16" s="23">
        <v>0.19</v>
      </c>
      <c r="K16" s="24">
        <f t="shared" si="0"/>
        <v>604.20000000000005</v>
      </c>
      <c r="L16" s="25">
        <f t="shared" si="1"/>
        <v>3784.2</v>
      </c>
      <c r="M16" s="20" t="s">
        <v>49</v>
      </c>
      <c r="N16" s="19">
        <v>46055</v>
      </c>
      <c r="O16" s="26">
        <v>3784.2</v>
      </c>
      <c r="P16" s="24">
        <f t="shared" si="2"/>
        <v>0</v>
      </c>
      <c r="Q16" s="18" t="str">
        <f t="shared" ca="1" si="3"/>
        <v>Bezahlt</v>
      </c>
    </row>
    <row r="17" spans="2:17" ht="16.5" customHeight="1" x14ac:dyDescent="0.25">
      <c r="B17" s="18">
        <f>IF($C17="","",COUNT($C$14:$C17))</f>
        <v>4</v>
      </c>
      <c r="C17" s="19">
        <v>46049</v>
      </c>
      <c r="D17" s="20" t="s">
        <v>60</v>
      </c>
      <c r="E17" s="20" t="s">
        <v>61</v>
      </c>
      <c r="F17" s="20" t="s">
        <v>62</v>
      </c>
      <c r="G17" s="20" t="s">
        <v>63</v>
      </c>
      <c r="H17" s="21" t="s">
        <v>54</v>
      </c>
      <c r="I17" s="22">
        <v>840</v>
      </c>
      <c r="J17" s="23">
        <v>0.19</v>
      </c>
      <c r="K17" s="24">
        <f t="shared" si="0"/>
        <v>159.6</v>
      </c>
      <c r="L17" s="25">
        <f t="shared" si="1"/>
        <v>999.6</v>
      </c>
      <c r="M17" s="20" t="s">
        <v>64</v>
      </c>
      <c r="N17" s="19">
        <v>46049</v>
      </c>
      <c r="O17" s="26">
        <v>999.6</v>
      </c>
      <c r="P17" s="24">
        <f t="shared" si="2"/>
        <v>0</v>
      </c>
      <c r="Q17" s="18" t="str">
        <f t="shared" ca="1" si="3"/>
        <v>Bezahlt</v>
      </c>
    </row>
    <row r="18" spans="2:17" ht="16.5" customHeight="1" x14ac:dyDescent="0.25">
      <c r="B18" s="18">
        <f>IF($C18="","",COUNT($C$14:$C18))</f>
        <v>5</v>
      </c>
      <c r="C18" s="19">
        <v>46056</v>
      </c>
      <c r="D18" s="20" t="s">
        <v>65</v>
      </c>
      <c r="E18" s="20" t="s">
        <v>66</v>
      </c>
      <c r="F18" s="20" t="s">
        <v>67</v>
      </c>
      <c r="G18" s="20" t="s">
        <v>68</v>
      </c>
      <c r="H18" s="21" t="s">
        <v>54</v>
      </c>
      <c r="I18" s="22">
        <v>1960</v>
      </c>
      <c r="J18" s="23">
        <v>0.19</v>
      </c>
      <c r="K18" s="24">
        <f t="shared" si="0"/>
        <v>372.4</v>
      </c>
      <c r="L18" s="25">
        <f t="shared" si="1"/>
        <v>2332.4</v>
      </c>
      <c r="M18" s="20" t="s">
        <v>49</v>
      </c>
      <c r="N18" s="19">
        <v>46070</v>
      </c>
      <c r="O18" s="26">
        <v>2332.4</v>
      </c>
      <c r="P18" s="24">
        <f t="shared" si="2"/>
        <v>0</v>
      </c>
      <c r="Q18" s="18" t="str">
        <f t="shared" ca="1" si="3"/>
        <v>Bezahlt</v>
      </c>
    </row>
    <row r="19" spans="2:17" ht="16.5" customHeight="1" x14ac:dyDescent="0.25">
      <c r="B19" s="18">
        <f>IF($C19="","",COUNT($C$14:$C19))</f>
        <v>6</v>
      </c>
      <c r="C19" s="19">
        <v>46064</v>
      </c>
      <c r="D19" s="20" t="s">
        <v>69</v>
      </c>
      <c r="E19" s="20" t="s">
        <v>70</v>
      </c>
      <c r="F19" s="20" t="s">
        <v>46</v>
      </c>
      <c r="G19" s="20" t="s">
        <v>47</v>
      </c>
      <c r="H19" s="21" t="s">
        <v>48</v>
      </c>
      <c r="I19" s="22">
        <v>950</v>
      </c>
      <c r="J19" s="23">
        <v>0.19</v>
      </c>
      <c r="K19" s="24">
        <f t="shared" si="0"/>
        <v>180.5</v>
      </c>
      <c r="L19" s="25">
        <f t="shared" si="1"/>
        <v>1130.5</v>
      </c>
      <c r="M19" s="20" t="s">
        <v>55</v>
      </c>
      <c r="N19" s="19">
        <v>46078</v>
      </c>
      <c r="O19" s="26">
        <v>1130.5</v>
      </c>
      <c r="P19" s="24">
        <f t="shared" si="2"/>
        <v>0</v>
      </c>
      <c r="Q19" s="18" t="str">
        <f t="shared" ca="1" si="3"/>
        <v>Bezahlt</v>
      </c>
    </row>
    <row r="20" spans="2:17" ht="16.5" customHeight="1" x14ac:dyDescent="0.25">
      <c r="B20" s="18">
        <f>IF($C20="","",COUNT($C$14:$C20))</f>
        <v>7</v>
      </c>
      <c r="C20" s="19">
        <v>46071</v>
      </c>
      <c r="D20" s="20" t="s">
        <v>71</v>
      </c>
      <c r="E20" s="20" t="s">
        <v>72</v>
      </c>
      <c r="F20" s="20" t="s">
        <v>73</v>
      </c>
      <c r="G20" s="20" t="s">
        <v>74</v>
      </c>
      <c r="H20" s="21" t="s">
        <v>54</v>
      </c>
      <c r="I20" s="22">
        <v>2480</v>
      </c>
      <c r="J20" s="23">
        <v>0</v>
      </c>
      <c r="K20" s="24">
        <f t="shared" si="0"/>
        <v>0</v>
      </c>
      <c r="L20" s="25">
        <f t="shared" si="1"/>
        <v>2480</v>
      </c>
      <c r="M20" s="20" t="s">
        <v>49</v>
      </c>
      <c r="N20" s="19">
        <v>46081</v>
      </c>
      <c r="O20" s="26">
        <v>2480</v>
      </c>
      <c r="P20" s="24">
        <f t="shared" si="2"/>
        <v>0</v>
      </c>
      <c r="Q20" s="18" t="str">
        <f t="shared" ca="1" si="3"/>
        <v>Bezahlt</v>
      </c>
    </row>
    <row r="21" spans="2:17" ht="16.5" customHeight="1" x14ac:dyDescent="0.25">
      <c r="B21" s="18">
        <f>IF($C21="","",COUNT($C$14:$C21))</f>
        <v>8</v>
      </c>
      <c r="C21" s="19">
        <v>46077</v>
      </c>
      <c r="D21" s="20" t="s">
        <v>75</v>
      </c>
      <c r="E21" s="20" t="s">
        <v>76</v>
      </c>
      <c r="F21" s="20" t="s">
        <v>77</v>
      </c>
      <c r="G21" s="20" t="s">
        <v>78</v>
      </c>
      <c r="H21" s="21" t="s">
        <v>54</v>
      </c>
      <c r="I21" s="22">
        <v>128</v>
      </c>
      <c r="J21" s="23">
        <v>7.0000000000000007E-2</v>
      </c>
      <c r="K21" s="24">
        <f t="shared" si="0"/>
        <v>8.9600000000000009</v>
      </c>
      <c r="L21" s="25">
        <f t="shared" si="1"/>
        <v>136.96</v>
      </c>
      <c r="M21" s="20" t="s">
        <v>79</v>
      </c>
      <c r="N21" s="19">
        <v>46077</v>
      </c>
      <c r="O21" s="26">
        <v>136.96</v>
      </c>
      <c r="P21" s="24">
        <f t="shared" si="2"/>
        <v>0</v>
      </c>
      <c r="Q21" s="18" t="str">
        <f t="shared" ca="1" si="3"/>
        <v>Bezahlt</v>
      </c>
    </row>
    <row r="22" spans="2:17" ht="16.5" customHeight="1" x14ac:dyDescent="0.25">
      <c r="B22" s="18">
        <f>IF($C22="","",COUNT($C$14:$C22))</f>
        <v>9</v>
      </c>
      <c r="C22" s="19">
        <v>46086</v>
      </c>
      <c r="D22" s="20" t="s">
        <v>80</v>
      </c>
      <c r="E22" s="20" t="s">
        <v>81</v>
      </c>
      <c r="F22" s="20" t="s">
        <v>82</v>
      </c>
      <c r="G22" s="20" t="s">
        <v>47</v>
      </c>
      <c r="H22" s="21" t="s">
        <v>48</v>
      </c>
      <c r="I22" s="22">
        <v>4650</v>
      </c>
      <c r="J22" s="23">
        <v>0.19</v>
      </c>
      <c r="K22" s="24">
        <f t="shared" si="0"/>
        <v>883.5</v>
      </c>
      <c r="L22" s="25">
        <f t="shared" si="1"/>
        <v>5533.5</v>
      </c>
      <c r="M22" s="20" t="s">
        <v>49</v>
      </c>
      <c r="N22" s="19">
        <v>46100</v>
      </c>
      <c r="O22" s="26">
        <v>5533.5</v>
      </c>
      <c r="P22" s="24">
        <f t="shared" si="2"/>
        <v>0</v>
      </c>
      <c r="Q22" s="18" t="str">
        <f t="shared" ca="1" si="3"/>
        <v>Bezahlt</v>
      </c>
    </row>
    <row r="23" spans="2:17" ht="16.5" customHeight="1" x14ac:dyDescent="0.25">
      <c r="B23" s="18">
        <f>IF($C23="","",COUNT($C$14:$C23))</f>
        <v>10</v>
      </c>
      <c r="C23" s="19">
        <v>46094</v>
      </c>
      <c r="D23" s="20" t="s">
        <v>83</v>
      </c>
      <c r="E23" s="20" t="s">
        <v>84</v>
      </c>
      <c r="F23" s="20" t="s">
        <v>85</v>
      </c>
      <c r="G23" s="20" t="s">
        <v>86</v>
      </c>
      <c r="H23" s="21" t="s">
        <v>54</v>
      </c>
      <c r="I23" s="22">
        <v>216.4</v>
      </c>
      <c r="J23" s="23">
        <v>0.19</v>
      </c>
      <c r="K23" s="24">
        <f t="shared" si="0"/>
        <v>41.12</v>
      </c>
      <c r="L23" s="25">
        <f t="shared" si="1"/>
        <v>257.52</v>
      </c>
      <c r="M23" s="20" t="s">
        <v>64</v>
      </c>
      <c r="N23" s="19">
        <v>46094</v>
      </c>
      <c r="O23" s="26">
        <v>257.52</v>
      </c>
      <c r="P23" s="24">
        <f t="shared" si="2"/>
        <v>0</v>
      </c>
      <c r="Q23" s="18" t="str">
        <f t="shared" ca="1" si="3"/>
        <v>Bezahlt</v>
      </c>
    </row>
    <row r="24" spans="2:17" ht="16.5" customHeight="1" x14ac:dyDescent="0.25">
      <c r="B24" s="18">
        <f>IF($C24="","",COUNT($C$14:$C24))</f>
        <v>11</v>
      </c>
      <c r="C24" s="19">
        <v>46101</v>
      </c>
      <c r="D24" s="20" t="s">
        <v>87</v>
      </c>
      <c r="E24" s="20" t="s">
        <v>88</v>
      </c>
      <c r="F24" s="20" t="s">
        <v>89</v>
      </c>
      <c r="G24" s="20" t="s">
        <v>90</v>
      </c>
      <c r="H24" s="21" t="s">
        <v>54</v>
      </c>
      <c r="I24" s="22">
        <v>690</v>
      </c>
      <c r="J24" s="23">
        <v>0.19</v>
      </c>
      <c r="K24" s="24">
        <f t="shared" si="0"/>
        <v>131.1</v>
      </c>
      <c r="L24" s="25">
        <f t="shared" si="1"/>
        <v>821.1</v>
      </c>
      <c r="M24" s="20" t="s">
        <v>64</v>
      </c>
      <c r="N24" s="19">
        <v>46101</v>
      </c>
      <c r="O24" s="26">
        <v>821.1</v>
      </c>
      <c r="P24" s="24">
        <f t="shared" si="2"/>
        <v>0</v>
      </c>
      <c r="Q24" s="18" t="str">
        <f t="shared" ca="1" si="3"/>
        <v>Bezahlt</v>
      </c>
    </row>
    <row r="25" spans="2:17" ht="16.5" customHeight="1" x14ac:dyDescent="0.25">
      <c r="B25" s="18">
        <f>IF($C25="","",COUNT($C$14:$C25))</f>
        <v>12</v>
      </c>
      <c r="C25" s="19">
        <v>46112</v>
      </c>
      <c r="D25" s="20" t="s">
        <v>91</v>
      </c>
      <c r="E25" s="20" t="s">
        <v>92</v>
      </c>
      <c r="F25" s="20" t="s">
        <v>58</v>
      </c>
      <c r="G25" s="20" t="s">
        <v>59</v>
      </c>
      <c r="H25" s="21" t="s">
        <v>48</v>
      </c>
      <c r="I25" s="22">
        <v>2740</v>
      </c>
      <c r="J25" s="23">
        <v>0.19</v>
      </c>
      <c r="K25" s="24">
        <f t="shared" si="0"/>
        <v>520.6</v>
      </c>
      <c r="L25" s="25">
        <f t="shared" si="1"/>
        <v>3260.6</v>
      </c>
      <c r="M25" s="20" t="s">
        <v>49</v>
      </c>
      <c r="N25" s="19">
        <v>46126</v>
      </c>
      <c r="O25" s="26">
        <v>3260.6</v>
      </c>
      <c r="P25" s="24">
        <f t="shared" si="2"/>
        <v>0</v>
      </c>
      <c r="Q25" s="18" t="str">
        <f t="shared" ca="1" si="3"/>
        <v>Bezahlt</v>
      </c>
    </row>
    <row r="26" spans="2:17" ht="16.5" customHeight="1" x14ac:dyDescent="0.25">
      <c r="B26" s="18">
        <f>IF($C26="","",COUNT($C$14:$C26))</f>
        <v>13</v>
      </c>
      <c r="C26" s="19">
        <v>46121</v>
      </c>
      <c r="D26" s="20" t="s">
        <v>93</v>
      </c>
      <c r="E26" s="20" t="s">
        <v>94</v>
      </c>
      <c r="F26" s="20" t="s">
        <v>95</v>
      </c>
      <c r="G26" s="20" t="s">
        <v>96</v>
      </c>
      <c r="H26" s="21" t="s">
        <v>54</v>
      </c>
      <c r="I26" s="22">
        <v>612</v>
      </c>
      <c r="J26" s="23">
        <v>0</v>
      </c>
      <c r="K26" s="24">
        <f t="shared" si="0"/>
        <v>0</v>
      </c>
      <c r="L26" s="25">
        <f t="shared" si="1"/>
        <v>612</v>
      </c>
      <c r="M26" s="20" t="s">
        <v>55</v>
      </c>
      <c r="N26" s="19">
        <v>46121</v>
      </c>
      <c r="O26" s="26">
        <v>612</v>
      </c>
      <c r="P26" s="24">
        <f t="shared" si="2"/>
        <v>0</v>
      </c>
      <c r="Q26" s="18" t="str">
        <f t="shared" ca="1" si="3"/>
        <v>Bezahlt</v>
      </c>
    </row>
    <row r="27" spans="2:17" ht="16.5" customHeight="1" x14ac:dyDescent="0.25">
      <c r="B27" s="18">
        <f>IF($C27="","",COUNT($C$14:$C27))</f>
        <v>14</v>
      </c>
      <c r="C27" s="19">
        <v>46129</v>
      </c>
      <c r="D27" s="20" t="s">
        <v>97</v>
      </c>
      <c r="E27" s="20" t="s">
        <v>98</v>
      </c>
      <c r="F27" s="20" t="s">
        <v>82</v>
      </c>
      <c r="G27" s="20" t="s">
        <v>47</v>
      </c>
      <c r="H27" s="21" t="s">
        <v>48</v>
      </c>
      <c r="I27" s="22">
        <v>1800</v>
      </c>
      <c r="J27" s="23">
        <v>0.19</v>
      </c>
      <c r="K27" s="24">
        <f t="shared" si="0"/>
        <v>342</v>
      </c>
      <c r="L27" s="25">
        <f t="shared" si="1"/>
        <v>2142</v>
      </c>
      <c r="M27" s="20" t="s">
        <v>49</v>
      </c>
      <c r="N27" s="19">
        <v>46143</v>
      </c>
      <c r="O27" s="26">
        <v>2142</v>
      </c>
      <c r="P27" s="24">
        <f t="shared" si="2"/>
        <v>0</v>
      </c>
      <c r="Q27" s="18" t="str">
        <f t="shared" ca="1" si="3"/>
        <v>Bezahlt</v>
      </c>
    </row>
    <row r="28" spans="2:17" ht="16.5" customHeight="1" x14ac:dyDescent="0.25">
      <c r="B28" s="18">
        <f>IF($C28="","",COUNT($C$14:$C28))</f>
        <v>15</v>
      </c>
      <c r="C28" s="19">
        <v>46140</v>
      </c>
      <c r="D28" s="20" t="s">
        <v>99</v>
      </c>
      <c r="E28" s="20" t="s">
        <v>100</v>
      </c>
      <c r="F28" s="20" t="s">
        <v>101</v>
      </c>
      <c r="G28" s="20" t="s">
        <v>102</v>
      </c>
      <c r="H28" s="21" t="s">
        <v>54</v>
      </c>
      <c r="I28" s="22">
        <v>184.9</v>
      </c>
      <c r="J28" s="23">
        <v>0.19</v>
      </c>
      <c r="K28" s="24">
        <f t="shared" si="0"/>
        <v>35.130000000000003</v>
      </c>
      <c r="L28" s="25">
        <f t="shared" si="1"/>
        <v>220.03</v>
      </c>
      <c r="M28" s="20" t="s">
        <v>103</v>
      </c>
      <c r="N28" s="19">
        <v>46140</v>
      </c>
      <c r="O28" s="26">
        <v>220.03</v>
      </c>
      <c r="P28" s="24">
        <f t="shared" si="2"/>
        <v>0</v>
      </c>
      <c r="Q28" s="18" t="str">
        <f t="shared" ca="1" si="3"/>
        <v>Bezahlt</v>
      </c>
    </row>
    <row r="29" spans="2:17" ht="16.5" customHeight="1" x14ac:dyDescent="0.25">
      <c r="B29" s="18">
        <f>IF($C29="","",COUNT($C$14:$C29))</f>
        <v>16</v>
      </c>
      <c r="C29" s="19">
        <v>46150</v>
      </c>
      <c r="D29" s="20" t="s">
        <v>104</v>
      </c>
      <c r="E29" s="20" t="s">
        <v>105</v>
      </c>
      <c r="F29" s="20" t="s">
        <v>106</v>
      </c>
      <c r="G29" s="20" t="s">
        <v>107</v>
      </c>
      <c r="H29" s="21" t="s">
        <v>54</v>
      </c>
      <c r="I29" s="22">
        <v>1350</v>
      </c>
      <c r="J29" s="23">
        <v>0.19</v>
      </c>
      <c r="K29" s="24">
        <f t="shared" si="0"/>
        <v>256.5</v>
      </c>
      <c r="L29" s="25">
        <f t="shared" si="1"/>
        <v>1606.5</v>
      </c>
      <c r="M29" s="20" t="s">
        <v>49</v>
      </c>
      <c r="N29" s="19">
        <v>46164</v>
      </c>
      <c r="O29" s="26">
        <v>1606.5</v>
      </c>
      <c r="P29" s="24">
        <f t="shared" si="2"/>
        <v>0</v>
      </c>
      <c r="Q29" s="18" t="str">
        <f t="shared" ca="1" si="3"/>
        <v>Bezahlt</v>
      </c>
    </row>
    <row r="30" spans="2:17" ht="16.5" customHeight="1" x14ac:dyDescent="0.25">
      <c r="B30" s="18">
        <f>IF($C30="","",COUNT($C$14:$C30))</f>
        <v>17</v>
      </c>
      <c r="C30" s="19">
        <v>46157</v>
      </c>
      <c r="D30" s="20" t="s">
        <v>108</v>
      </c>
      <c r="E30" s="20" t="s">
        <v>109</v>
      </c>
      <c r="F30" s="20" t="s">
        <v>110</v>
      </c>
      <c r="G30" s="20" t="s">
        <v>59</v>
      </c>
      <c r="H30" s="21" t="s">
        <v>48</v>
      </c>
      <c r="I30" s="22">
        <v>5240</v>
      </c>
      <c r="J30" s="23">
        <v>0.19</v>
      </c>
      <c r="K30" s="24">
        <f t="shared" si="0"/>
        <v>995.6</v>
      </c>
      <c r="L30" s="25">
        <f t="shared" si="1"/>
        <v>6235.6</v>
      </c>
      <c r="M30" s="20" t="s">
        <v>49</v>
      </c>
      <c r="N30" s="19">
        <v>46171</v>
      </c>
      <c r="O30" s="26">
        <v>6235.6</v>
      </c>
      <c r="P30" s="24">
        <f t="shared" si="2"/>
        <v>0</v>
      </c>
      <c r="Q30" s="18" t="str">
        <f t="shared" ca="1" si="3"/>
        <v>Bezahlt</v>
      </c>
    </row>
    <row r="31" spans="2:17" ht="16.5" customHeight="1" x14ac:dyDescent="0.25">
      <c r="B31" s="18">
        <f>IF($C31="","",COUNT($C$14:$C31))</f>
        <v>18</v>
      </c>
      <c r="C31" s="19">
        <v>46168</v>
      </c>
      <c r="D31" s="20" t="s">
        <v>111</v>
      </c>
      <c r="E31" s="20" t="s">
        <v>112</v>
      </c>
      <c r="F31" s="20" t="s">
        <v>113</v>
      </c>
      <c r="G31" s="20" t="s">
        <v>114</v>
      </c>
      <c r="H31" s="21" t="s">
        <v>54</v>
      </c>
      <c r="I31" s="22">
        <v>238.5</v>
      </c>
      <c r="J31" s="23">
        <v>7.0000000000000007E-2</v>
      </c>
      <c r="K31" s="24">
        <f t="shared" si="0"/>
        <v>16.7</v>
      </c>
      <c r="L31" s="25">
        <f t="shared" si="1"/>
        <v>255.2</v>
      </c>
      <c r="M31" s="20" t="s">
        <v>64</v>
      </c>
      <c r="N31" s="19">
        <v>46168</v>
      </c>
      <c r="O31" s="26">
        <v>255.2</v>
      </c>
      <c r="P31" s="24">
        <f t="shared" si="2"/>
        <v>0</v>
      </c>
      <c r="Q31" s="18" t="str">
        <f t="shared" ca="1" si="3"/>
        <v>Bezahlt</v>
      </c>
    </row>
    <row r="32" spans="2:17" ht="16.5" customHeight="1" x14ac:dyDescent="0.25">
      <c r="B32" s="18">
        <f>IF($C32="","",COUNT($C$14:$C32))</f>
        <v>19</v>
      </c>
      <c r="C32" s="19">
        <v>46177</v>
      </c>
      <c r="D32" s="20" t="s">
        <v>115</v>
      </c>
      <c r="E32" s="20" t="s">
        <v>116</v>
      </c>
      <c r="F32" s="20" t="s">
        <v>95</v>
      </c>
      <c r="G32" s="20" t="s">
        <v>117</v>
      </c>
      <c r="H32" s="21" t="s">
        <v>48</v>
      </c>
      <c r="I32" s="22">
        <v>315</v>
      </c>
      <c r="J32" s="23">
        <v>0</v>
      </c>
      <c r="K32" s="24">
        <f t="shared" si="0"/>
        <v>0</v>
      </c>
      <c r="L32" s="25">
        <f t="shared" si="1"/>
        <v>315</v>
      </c>
      <c r="M32" s="20" t="s">
        <v>49</v>
      </c>
      <c r="N32" s="19">
        <v>46191</v>
      </c>
      <c r="O32" s="26">
        <v>315</v>
      </c>
      <c r="P32" s="24">
        <f t="shared" si="2"/>
        <v>0</v>
      </c>
      <c r="Q32" s="18" t="str">
        <f t="shared" ca="1" si="3"/>
        <v>Bezahlt</v>
      </c>
    </row>
    <row r="33" spans="2:17" ht="16.5" customHeight="1" x14ac:dyDescent="0.25">
      <c r="B33" s="18">
        <f>IF($C33="","",COUNT($C$14:$C33))</f>
        <v>20</v>
      </c>
      <c r="C33" s="19">
        <v>46189</v>
      </c>
      <c r="D33" s="20" t="s">
        <v>118</v>
      </c>
      <c r="E33" s="20" t="s">
        <v>119</v>
      </c>
      <c r="F33" s="20" t="s">
        <v>67</v>
      </c>
      <c r="G33" s="20" t="s">
        <v>68</v>
      </c>
      <c r="H33" s="21" t="s">
        <v>54</v>
      </c>
      <c r="I33" s="22">
        <v>2380</v>
      </c>
      <c r="J33" s="23">
        <v>0.19</v>
      </c>
      <c r="K33" s="24">
        <f t="shared" si="0"/>
        <v>452.2</v>
      </c>
      <c r="L33" s="25">
        <f t="shared" si="1"/>
        <v>2832.2</v>
      </c>
      <c r="M33" s="20" t="s">
        <v>49</v>
      </c>
      <c r="N33" s="19">
        <v>46203</v>
      </c>
      <c r="O33" s="26">
        <v>2832.2</v>
      </c>
      <c r="P33" s="24">
        <f t="shared" si="2"/>
        <v>0</v>
      </c>
      <c r="Q33" s="18" t="str">
        <f t="shared" ca="1" si="3"/>
        <v>Bezahlt</v>
      </c>
    </row>
    <row r="34" spans="2:17" ht="16.5" customHeight="1" x14ac:dyDescent="0.25">
      <c r="B34" s="18">
        <f>IF($C34="","",COUNT($C$14:$C34))</f>
        <v>21</v>
      </c>
      <c r="C34" s="19">
        <v>46203</v>
      </c>
      <c r="D34" s="20" t="s">
        <v>120</v>
      </c>
      <c r="E34" s="20" t="s">
        <v>121</v>
      </c>
      <c r="F34" s="20" t="s">
        <v>82</v>
      </c>
      <c r="G34" s="20" t="s">
        <v>47</v>
      </c>
      <c r="H34" s="21" t="s">
        <v>48</v>
      </c>
      <c r="I34" s="22">
        <v>3900</v>
      </c>
      <c r="J34" s="23">
        <v>0.19</v>
      </c>
      <c r="K34" s="24">
        <f t="shared" si="0"/>
        <v>741</v>
      </c>
      <c r="L34" s="25">
        <f t="shared" si="1"/>
        <v>4641</v>
      </c>
      <c r="M34" s="20" t="s">
        <v>49</v>
      </c>
      <c r="N34" s="19">
        <v>46217</v>
      </c>
      <c r="O34" s="26">
        <v>2000</v>
      </c>
      <c r="P34" s="24">
        <f t="shared" si="2"/>
        <v>2641</v>
      </c>
      <c r="Q34" s="18" t="str">
        <f t="shared" ca="1" si="3"/>
        <v>Teilzahlung</v>
      </c>
    </row>
    <row r="35" spans="2:17" ht="16.5" customHeight="1" x14ac:dyDescent="0.25">
      <c r="B35" s="18">
        <f>IF($C35="","",COUNT($C$14:$C35))</f>
        <v>22</v>
      </c>
      <c r="C35" s="19">
        <v>46210</v>
      </c>
      <c r="D35" s="20" t="s">
        <v>122</v>
      </c>
      <c r="E35" s="20" t="s">
        <v>123</v>
      </c>
      <c r="F35" s="20" t="s">
        <v>124</v>
      </c>
      <c r="G35" s="20" t="s">
        <v>125</v>
      </c>
      <c r="H35" s="21" t="s">
        <v>54</v>
      </c>
      <c r="I35" s="22">
        <v>42.8</v>
      </c>
      <c r="J35" s="23">
        <v>0</v>
      </c>
      <c r="K35" s="24">
        <f t="shared" si="0"/>
        <v>0</v>
      </c>
      <c r="L35" s="25">
        <f t="shared" si="1"/>
        <v>42.8</v>
      </c>
      <c r="M35" s="20" t="s">
        <v>55</v>
      </c>
      <c r="N35" s="19">
        <v>46210</v>
      </c>
      <c r="O35" s="26">
        <v>42.8</v>
      </c>
      <c r="P35" s="24">
        <f t="shared" si="2"/>
        <v>0</v>
      </c>
      <c r="Q35" s="18" t="str">
        <f t="shared" ca="1" si="3"/>
        <v>Bezahlt</v>
      </c>
    </row>
    <row r="36" spans="2:17" ht="16.5" customHeight="1" x14ac:dyDescent="0.25">
      <c r="B36" s="18">
        <f>IF($C36="","",COUNT($C$14:$C36))</f>
        <v>23</v>
      </c>
      <c r="C36" s="19">
        <v>46218</v>
      </c>
      <c r="D36" s="20" t="s">
        <v>126</v>
      </c>
      <c r="E36" s="20" t="s">
        <v>127</v>
      </c>
      <c r="F36" s="20" t="s">
        <v>46</v>
      </c>
      <c r="G36" s="20" t="s">
        <v>47</v>
      </c>
      <c r="H36" s="21" t="s">
        <v>48</v>
      </c>
      <c r="I36" s="22">
        <v>2400</v>
      </c>
      <c r="J36" s="23">
        <v>0.19</v>
      </c>
      <c r="K36" s="24">
        <f t="shared" si="0"/>
        <v>456</v>
      </c>
      <c r="L36" s="25">
        <f t="shared" si="1"/>
        <v>2856</v>
      </c>
      <c r="M36" s="20" t="s">
        <v>49</v>
      </c>
      <c r="N36" s="19">
        <v>46232</v>
      </c>
      <c r="O36" s="26">
        <v>0</v>
      </c>
      <c r="P36" s="24">
        <f t="shared" si="2"/>
        <v>2856</v>
      </c>
      <c r="Q36" s="18" t="str">
        <f t="shared" ca="1" si="3"/>
        <v>Überfällig</v>
      </c>
    </row>
    <row r="37" spans="2:17" ht="16.5" customHeight="1" x14ac:dyDescent="0.25">
      <c r="B37" s="18">
        <f>IF($C37="","",COUNT($C$14:$C37))</f>
        <v>24</v>
      </c>
      <c r="C37" s="19">
        <v>46226</v>
      </c>
      <c r="D37" s="20" t="s">
        <v>128</v>
      </c>
      <c r="E37" s="20" t="s">
        <v>129</v>
      </c>
      <c r="F37" s="20" t="s">
        <v>130</v>
      </c>
      <c r="G37" s="20" t="s">
        <v>78</v>
      </c>
      <c r="H37" s="21" t="s">
        <v>54</v>
      </c>
      <c r="I37" s="22">
        <v>395</v>
      </c>
      <c r="J37" s="23">
        <v>0.19</v>
      </c>
      <c r="K37" s="24">
        <f t="shared" si="0"/>
        <v>75.05</v>
      </c>
      <c r="L37" s="25">
        <f t="shared" si="1"/>
        <v>470.05</v>
      </c>
      <c r="M37" s="20" t="s">
        <v>64</v>
      </c>
      <c r="N37" s="19">
        <v>46226</v>
      </c>
      <c r="O37" s="26">
        <v>470.05</v>
      </c>
      <c r="P37" s="24">
        <f t="shared" si="2"/>
        <v>0</v>
      </c>
      <c r="Q37" s="18" t="str">
        <f t="shared" ca="1" si="3"/>
        <v>Bezahlt</v>
      </c>
    </row>
    <row r="38" spans="2:17" ht="16.5" customHeight="1" x14ac:dyDescent="0.25">
      <c r="B38" s="18">
        <f>IF($C38="","",COUNT($C$14:$C38))</f>
        <v>25</v>
      </c>
      <c r="C38" s="19">
        <v>46239</v>
      </c>
      <c r="D38" s="20" t="s">
        <v>131</v>
      </c>
      <c r="E38" s="20" t="s">
        <v>132</v>
      </c>
      <c r="F38" s="20" t="s">
        <v>110</v>
      </c>
      <c r="G38" s="20" t="s">
        <v>59</v>
      </c>
      <c r="H38" s="21" t="s">
        <v>48</v>
      </c>
      <c r="I38" s="22">
        <v>4120</v>
      </c>
      <c r="J38" s="23">
        <v>0.19</v>
      </c>
      <c r="K38" s="24">
        <f t="shared" si="0"/>
        <v>782.8</v>
      </c>
      <c r="L38" s="25">
        <f t="shared" si="1"/>
        <v>4902.8</v>
      </c>
      <c r="M38" s="20" t="s">
        <v>49</v>
      </c>
      <c r="N38" s="19">
        <v>46253</v>
      </c>
      <c r="O38" s="26">
        <v>0</v>
      </c>
      <c r="P38" s="24">
        <f t="shared" si="2"/>
        <v>4902.8</v>
      </c>
      <c r="Q38" s="18" t="str">
        <f t="shared" ca="1" si="3"/>
        <v>Überfällig</v>
      </c>
    </row>
    <row r="39" spans="2:17" ht="16.5" customHeight="1" x14ac:dyDescent="0.25">
      <c r="B39" s="18">
        <f>IF($C39="","",COUNT($C$14:$C39))</f>
        <v>26</v>
      </c>
      <c r="C39" s="19">
        <v>46246</v>
      </c>
      <c r="D39" s="20" t="s">
        <v>133</v>
      </c>
      <c r="E39" s="20" t="s">
        <v>134</v>
      </c>
      <c r="F39" s="20" t="s">
        <v>52</v>
      </c>
      <c r="G39" s="20" t="s">
        <v>53</v>
      </c>
      <c r="H39" s="21" t="s">
        <v>54</v>
      </c>
      <c r="I39" s="22">
        <v>560</v>
      </c>
      <c r="J39" s="23">
        <v>0.19</v>
      </c>
      <c r="K39" s="24">
        <f t="shared" si="0"/>
        <v>106.4</v>
      </c>
      <c r="L39" s="25">
        <f t="shared" si="1"/>
        <v>666.4</v>
      </c>
      <c r="M39" s="20" t="s">
        <v>49</v>
      </c>
      <c r="N39" s="19">
        <v>46260</v>
      </c>
      <c r="O39" s="26">
        <v>0</v>
      </c>
      <c r="P39" s="24">
        <f t="shared" si="2"/>
        <v>666.4</v>
      </c>
      <c r="Q39" s="18" t="str">
        <f t="shared" ca="1" si="3"/>
        <v>Offen</v>
      </c>
    </row>
    <row r="40" spans="2:17" ht="16.5" customHeight="1" x14ac:dyDescent="0.25">
      <c r="B40" s="18" t="str">
        <f>IF($C40="","",COUNT($C$14:$C40))</f>
        <v/>
      </c>
      <c r="C40" s="19"/>
      <c r="D40" s="20"/>
      <c r="E40" s="20"/>
      <c r="F40" s="20"/>
      <c r="G40" s="20"/>
      <c r="H40" s="21"/>
      <c r="I40" s="22"/>
      <c r="J40" s="23"/>
      <c r="K40" s="24" t="str">
        <f t="shared" si="0"/>
        <v/>
      </c>
      <c r="L40" s="25" t="str">
        <f t="shared" si="1"/>
        <v/>
      </c>
      <c r="M40" s="20"/>
      <c r="N40" s="19"/>
      <c r="O40" s="26"/>
      <c r="P40" s="24" t="str">
        <f t="shared" si="2"/>
        <v/>
      </c>
      <c r="Q40" s="18" t="str">
        <f t="shared" ca="1" si="3"/>
        <v/>
      </c>
    </row>
    <row r="41" spans="2:17" ht="16.5" customHeight="1" x14ac:dyDescent="0.25">
      <c r="B41" s="18" t="str">
        <f>IF($C41="","",COUNT($C$14:$C41))</f>
        <v/>
      </c>
      <c r="C41" s="19"/>
      <c r="D41" s="20"/>
      <c r="E41" s="20"/>
      <c r="F41" s="20"/>
      <c r="G41" s="20"/>
      <c r="H41" s="21"/>
      <c r="I41" s="22"/>
      <c r="J41" s="23"/>
      <c r="K41" s="24" t="str">
        <f t="shared" si="0"/>
        <v/>
      </c>
      <c r="L41" s="25" t="str">
        <f t="shared" si="1"/>
        <v/>
      </c>
      <c r="M41" s="20"/>
      <c r="N41" s="19"/>
      <c r="O41" s="26"/>
      <c r="P41" s="24" t="str">
        <f t="shared" si="2"/>
        <v/>
      </c>
      <c r="Q41" s="18" t="str">
        <f t="shared" ca="1" si="3"/>
        <v/>
      </c>
    </row>
    <row r="42" spans="2:17" ht="16.5" customHeight="1" x14ac:dyDescent="0.25">
      <c r="B42" s="18" t="str">
        <f>IF($C42="","",COUNT($C$14:$C42))</f>
        <v/>
      </c>
      <c r="C42" s="19"/>
      <c r="D42" s="20"/>
      <c r="E42" s="20"/>
      <c r="F42" s="20"/>
      <c r="G42" s="20"/>
      <c r="H42" s="21"/>
      <c r="I42" s="22"/>
      <c r="J42" s="23"/>
      <c r="K42" s="24" t="str">
        <f t="shared" si="0"/>
        <v/>
      </c>
      <c r="L42" s="25" t="str">
        <f t="shared" si="1"/>
        <v/>
      </c>
      <c r="M42" s="20"/>
      <c r="N42" s="19"/>
      <c r="O42" s="26"/>
      <c r="P42" s="24" t="str">
        <f t="shared" si="2"/>
        <v/>
      </c>
      <c r="Q42" s="18" t="str">
        <f t="shared" ca="1" si="3"/>
        <v/>
      </c>
    </row>
    <row r="43" spans="2:17" ht="16.5" customHeight="1" x14ac:dyDescent="0.25">
      <c r="B43" s="18" t="str">
        <f>IF($C43="","",COUNT($C$14:$C43))</f>
        <v/>
      </c>
      <c r="C43" s="19"/>
      <c r="D43" s="20"/>
      <c r="E43" s="20"/>
      <c r="F43" s="20"/>
      <c r="G43" s="20"/>
      <c r="H43" s="21"/>
      <c r="I43" s="22"/>
      <c r="J43" s="23"/>
      <c r="K43" s="24" t="str">
        <f t="shared" si="0"/>
        <v/>
      </c>
      <c r="L43" s="25" t="str">
        <f t="shared" si="1"/>
        <v/>
      </c>
      <c r="M43" s="20"/>
      <c r="N43" s="19"/>
      <c r="O43" s="26"/>
      <c r="P43" s="24" t="str">
        <f t="shared" si="2"/>
        <v/>
      </c>
      <c r="Q43" s="18" t="str">
        <f t="shared" ca="1" si="3"/>
        <v/>
      </c>
    </row>
    <row r="44" spans="2:17" ht="16.5" customHeight="1" x14ac:dyDescent="0.25">
      <c r="B44" s="18" t="str">
        <f>IF($C44="","",COUNT($C$14:$C44))</f>
        <v/>
      </c>
      <c r="C44" s="19"/>
      <c r="D44" s="20"/>
      <c r="E44" s="20"/>
      <c r="F44" s="20"/>
      <c r="G44" s="20"/>
      <c r="H44" s="21"/>
      <c r="I44" s="22"/>
      <c r="J44" s="23"/>
      <c r="K44" s="24" t="str">
        <f t="shared" si="0"/>
        <v/>
      </c>
      <c r="L44" s="25" t="str">
        <f t="shared" si="1"/>
        <v/>
      </c>
      <c r="M44" s="20"/>
      <c r="N44" s="19"/>
      <c r="O44" s="26"/>
      <c r="P44" s="24" t="str">
        <f t="shared" si="2"/>
        <v/>
      </c>
      <c r="Q44" s="18" t="str">
        <f t="shared" ca="1" si="3"/>
        <v/>
      </c>
    </row>
    <row r="45" spans="2:17" ht="16.5" customHeight="1" x14ac:dyDescent="0.25">
      <c r="B45" s="18" t="str">
        <f>IF($C45="","",COUNT($C$14:$C45))</f>
        <v/>
      </c>
      <c r="C45" s="19"/>
      <c r="D45" s="20"/>
      <c r="E45" s="20"/>
      <c r="F45" s="20"/>
      <c r="G45" s="20"/>
      <c r="H45" s="21"/>
      <c r="I45" s="22"/>
      <c r="J45" s="23"/>
      <c r="K45" s="24" t="str">
        <f t="shared" si="0"/>
        <v/>
      </c>
      <c r="L45" s="25" t="str">
        <f t="shared" si="1"/>
        <v/>
      </c>
      <c r="M45" s="20"/>
      <c r="N45" s="19"/>
      <c r="O45" s="26"/>
      <c r="P45" s="24" t="str">
        <f t="shared" si="2"/>
        <v/>
      </c>
      <c r="Q45" s="18" t="str">
        <f t="shared" ca="1" si="3"/>
        <v/>
      </c>
    </row>
    <row r="46" spans="2:17" ht="16.5" customHeight="1" x14ac:dyDescent="0.25">
      <c r="B46" s="18" t="str">
        <f>IF($C46="","",COUNT($C$14:$C46))</f>
        <v/>
      </c>
      <c r="C46" s="19"/>
      <c r="D46" s="20"/>
      <c r="E46" s="20"/>
      <c r="F46" s="20"/>
      <c r="G46" s="20"/>
      <c r="H46" s="21"/>
      <c r="I46" s="22"/>
      <c r="J46" s="23"/>
      <c r="K46" s="24" t="str">
        <f t="shared" ref="K46:K77" si="4">IF($I46="","",ROUND($I46*$J46,2))</f>
        <v/>
      </c>
      <c r="L46" s="25" t="str">
        <f t="shared" ref="L46:L77" si="5">IF($I46="","",ROUND($I46+$K46,2))</f>
        <v/>
      </c>
      <c r="M46" s="20"/>
      <c r="N46" s="19"/>
      <c r="O46" s="26"/>
      <c r="P46" s="24" t="str">
        <f t="shared" ref="P46:P77" si="6">IF($I46="","",MAX(0,ROUND($L46-$O46,2)))</f>
        <v/>
      </c>
      <c r="Q46" s="18" t="str">
        <f t="shared" ref="Q46:Q77" ca="1" si="7">IF($I46="","",IF($O46&gt;=$L46,"Bezahlt",IF($O46&gt;0,"Teilzahlung",IF(AND($N46&lt;&gt;"",$N46&lt;TODAY()),"Überfällig","Offen"))))</f>
        <v/>
      </c>
    </row>
    <row r="47" spans="2:17" ht="16.5" customHeight="1" x14ac:dyDescent="0.25">
      <c r="B47" s="18" t="str">
        <f>IF($C47="","",COUNT($C$14:$C47))</f>
        <v/>
      </c>
      <c r="C47" s="19"/>
      <c r="D47" s="20"/>
      <c r="E47" s="20"/>
      <c r="F47" s="20"/>
      <c r="G47" s="20"/>
      <c r="H47" s="21"/>
      <c r="I47" s="22"/>
      <c r="J47" s="23"/>
      <c r="K47" s="24" t="str">
        <f t="shared" si="4"/>
        <v/>
      </c>
      <c r="L47" s="25" t="str">
        <f t="shared" si="5"/>
        <v/>
      </c>
      <c r="M47" s="20"/>
      <c r="N47" s="19"/>
      <c r="O47" s="26"/>
      <c r="P47" s="24" t="str">
        <f t="shared" si="6"/>
        <v/>
      </c>
      <c r="Q47" s="18" t="str">
        <f t="shared" ca="1" si="7"/>
        <v/>
      </c>
    </row>
    <row r="48" spans="2:17" ht="16.5" customHeight="1" x14ac:dyDescent="0.25">
      <c r="B48" s="18" t="str">
        <f>IF($C48="","",COUNT($C$14:$C48))</f>
        <v/>
      </c>
      <c r="C48" s="19"/>
      <c r="D48" s="20"/>
      <c r="E48" s="20"/>
      <c r="F48" s="20"/>
      <c r="G48" s="20"/>
      <c r="H48" s="21"/>
      <c r="I48" s="22"/>
      <c r="J48" s="23"/>
      <c r="K48" s="24" t="str">
        <f t="shared" si="4"/>
        <v/>
      </c>
      <c r="L48" s="25" t="str">
        <f t="shared" si="5"/>
        <v/>
      </c>
      <c r="M48" s="20"/>
      <c r="N48" s="19"/>
      <c r="O48" s="26"/>
      <c r="P48" s="24" t="str">
        <f t="shared" si="6"/>
        <v/>
      </c>
      <c r="Q48" s="18" t="str">
        <f t="shared" ca="1" si="7"/>
        <v/>
      </c>
    </row>
    <row r="49" spans="2:17" ht="16.5" customHeight="1" x14ac:dyDescent="0.25">
      <c r="B49" s="18" t="str">
        <f>IF($C49="","",COUNT($C$14:$C49))</f>
        <v/>
      </c>
      <c r="C49" s="19"/>
      <c r="D49" s="20"/>
      <c r="E49" s="20"/>
      <c r="F49" s="20"/>
      <c r="G49" s="20"/>
      <c r="H49" s="21"/>
      <c r="I49" s="22"/>
      <c r="J49" s="23"/>
      <c r="K49" s="24" t="str">
        <f t="shared" si="4"/>
        <v/>
      </c>
      <c r="L49" s="25" t="str">
        <f t="shared" si="5"/>
        <v/>
      </c>
      <c r="M49" s="20"/>
      <c r="N49" s="19"/>
      <c r="O49" s="26"/>
      <c r="P49" s="24" t="str">
        <f t="shared" si="6"/>
        <v/>
      </c>
      <c r="Q49" s="18" t="str">
        <f t="shared" ca="1" si="7"/>
        <v/>
      </c>
    </row>
    <row r="50" spans="2:17" ht="16.5" customHeight="1" x14ac:dyDescent="0.25">
      <c r="B50" s="18" t="str">
        <f>IF($C50="","",COUNT($C$14:$C50))</f>
        <v/>
      </c>
      <c r="C50" s="19"/>
      <c r="D50" s="20"/>
      <c r="E50" s="20"/>
      <c r="F50" s="20"/>
      <c r="G50" s="20"/>
      <c r="H50" s="21"/>
      <c r="I50" s="22"/>
      <c r="J50" s="23"/>
      <c r="K50" s="24" t="str">
        <f t="shared" si="4"/>
        <v/>
      </c>
      <c r="L50" s="25" t="str">
        <f t="shared" si="5"/>
        <v/>
      </c>
      <c r="M50" s="20"/>
      <c r="N50" s="19"/>
      <c r="O50" s="26"/>
      <c r="P50" s="24" t="str">
        <f t="shared" si="6"/>
        <v/>
      </c>
      <c r="Q50" s="18" t="str">
        <f t="shared" ca="1" si="7"/>
        <v/>
      </c>
    </row>
    <row r="51" spans="2:17" ht="16.5" customHeight="1" x14ac:dyDescent="0.25">
      <c r="B51" s="18" t="str">
        <f>IF($C51="","",COUNT($C$14:$C51))</f>
        <v/>
      </c>
      <c r="C51" s="19"/>
      <c r="D51" s="20"/>
      <c r="E51" s="20"/>
      <c r="F51" s="20"/>
      <c r="G51" s="20"/>
      <c r="H51" s="21"/>
      <c r="I51" s="22"/>
      <c r="J51" s="23"/>
      <c r="K51" s="24" t="str">
        <f t="shared" si="4"/>
        <v/>
      </c>
      <c r="L51" s="25" t="str">
        <f t="shared" si="5"/>
        <v/>
      </c>
      <c r="M51" s="20"/>
      <c r="N51" s="19"/>
      <c r="O51" s="26"/>
      <c r="P51" s="24" t="str">
        <f t="shared" si="6"/>
        <v/>
      </c>
      <c r="Q51" s="18" t="str">
        <f t="shared" ca="1" si="7"/>
        <v/>
      </c>
    </row>
    <row r="52" spans="2:17" ht="16.5" customHeight="1" x14ac:dyDescent="0.25">
      <c r="B52" s="18" t="str">
        <f>IF($C52="","",COUNT($C$14:$C52))</f>
        <v/>
      </c>
      <c r="C52" s="19"/>
      <c r="D52" s="20"/>
      <c r="E52" s="20"/>
      <c r="F52" s="20"/>
      <c r="G52" s="20"/>
      <c r="H52" s="21"/>
      <c r="I52" s="22"/>
      <c r="J52" s="23"/>
      <c r="K52" s="24" t="str">
        <f t="shared" si="4"/>
        <v/>
      </c>
      <c r="L52" s="25" t="str">
        <f t="shared" si="5"/>
        <v/>
      </c>
      <c r="M52" s="20"/>
      <c r="N52" s="19"/>
      <c r="O52" s="26"/>
      <c r="P52" s="24" t="str">
        <f t="shared" si="6"/>
        <v/>
      </c>
      <c r="Q52" s="18" t="str">
        <f t="shared" ca="1" si="7"/>
        <v/>
      </c>
    </row>
    <row r="53" spans="2:17" ht="16.5" customHeight="1" x14ac:dyDescent="0.25">
      <c r="B53" s="18" t="str">
        <f>IF($C53="","",COUNT($C$14:$C53))</f>
        <v/>
      </c>
      <c r="C53" s="19"/>
      <c r="D53" s="20"/>
      <c r="E53" s="20"/>
      <c r="F53" s="20"/>
      <c r="G53" s="20"/>
      <c r="H53" s="21"/>
      <c r="I53" s="22"/>
      <c r="J53" s="23"/>
      <c r="K53" s="24" t="str">
        <f t="shared" si="4"/>
        <v/>
      </c>
      <c r="L53" s="25" t="str">
        <f t="shared" si="5"/>
        <v/>
      </c>
      <c r="M53" s="20"/>
      <c r="N53" s="19"/>
      <c r="O53" s="26"/>
      <c r="P53" s="24" t="str">
        <f t="shared" si="6"/>
        <v/>
      </c>
      <c r="Q53" s="18" t="str">
        <f t="shared" ca="1" si="7"/>
        <v/>
      </c>
    </row>
    <row r="54" spans="2:17" ht="16.5" customHeight="1" x14ac:dyDescent="0.25">
      <c r="B54" s="18" t="str">
        <f>IF($C54="","",COUNT($C$14:$C54))</f>
        <v/>
      </c>
      <c r="C54" s="19"/>
      <c r="D54" s="20"/>
      <c r="E54" s="20"/>
      <c r="F54" s="20"/>
      <c r="G54" s="20"/>
      <c r="H54" s="21"/>
      <c r="I54" s="22"/>
      <c r="J54" s="23"/>
      <c r="K54" s="24" t="str">
        <f t="shared" si="4"/>
        <v/>
      </c>
      <c r="L54" s="25" t="str">
        <f t="shared" si="5"/>
        <v/>
      </c>
      <c r="M54" s="20"/>
      <c r="N54" s="19"/>
      <c r="O54" s="26"/>
      <c r="P54" s="24" t="str">
        <f t="shared" si="6"/>
        <v/>
      </c>
      <c r="Q54" s="18" t="str">
        <f t="shared" ca="1" si="7"/>
        <v/>
      </c>
    </row>
    <row r="55" spans="2:17" ht="16.5" customHeight="1" x14ac:dyDescent="0.25">
      <c r="B55" s="18" t="str">
        <f>IF($C55="","",COUNT($C$14:$C55))</f>
        <v/>
      </c>
      <c r="C55" s="19"/>
      <c r="D55" s="20"/>
      <c r="E55" s="20"/>
      <c r="F55" s="20"/>
      <c r="G55" s="20"/>
      <c r="H55" s="21"/>
      <c r="I55" s="22"/>
      <c r="J55" s="23"/>
      <c r="K55" s="24" t="str">
        <f t="shared" si="4"/>
        <v/>
      </c>
      <c r="L55" s="25" t="str">
        <f t="shared" si="5"/>
        <v/>
      </c>
      <c r="M55" s="20"/>
      <c r="N55" s="19"/>
      <c r="O55" s="26"/>
      <c r="P55" s="24" t="str">
        <f t="shared" si="6"/>
        <v/>
      </c>
      <c r="Q55" s="18" t="str">
        <f t="shared" ca="1" si="7"/>
        <v/>
      </c>
    </row>
    <row r="56" spans="2:17" ht="16.5" customHeight="1" x14ac:dyDescent="0.25">
      <c r="B56" s="18" t="str">
        <f>IF($C56="","",COUNT($C$14:$C56))</f>
        <v/>
      </c>
      <c r="C56" s="19"/>
      <c r="D56" s="20"/>
      <c r="E56" s="20"/>
      <c r="F56" s="20"/>
      <c r="G56" s="20"/>
      <c r="H56" s="21"/>
      <c r="I56" s="22"/>
      <c r="J56" s="23"/>
      <c r="K56" s="24" t="str">
        <f t="shared" si="4"/>
        <v/>
      </c>
      <c r="L56" s="25" t="str">
        <f t="shared" si="5"/>
        <v/>
      </c>
      <c r="M56" s="20"/>
      <c r="N56" s="19"/>
      <c r="O56" s="26"/>
      <c r="P56" s="24" t="str">
        <f t="shared" si="6"/>
        <v/>
      </c>
      <c r="Q56" s="18" t="str">
        <f t="shared" ca="1" si="7"/>
        <v/>
      </c>
    </row>
    <row r="57" spans="2:17" ht="16.5" customHeight="1" x14ac:dyDescent="0.25">
      <c r="B57" s="18" t="str">
        <f>IF($C57="","",COUNT($C$14:$C57))</f>
        <v/>
      </c>
      <c r="C57" s="19"/>
      <c r="D57" s="20"/>
      <c r="E57" s="20"/>
      <c r="F57" s="20"/>
      <c r="G57" s="20"/>
      <c r="H57" s="21"/>
      <c r="I57" s="22"/>
      <c r="J57" s="23"/>
      <c r="K57" s="24" t="str">
        <f t="shared" si="4"/>
        <v/>
      </c>
      <c r="L57" s="25" t="str">
        <f t="shared" si="5"/>
        <v/>
      </c>
      <c r="M57" s="20"/>
      <c r="N57" s="19"/>
      <c r="O57" s="26"/>
      <c r="P57" s="24" t="str">
        <f t="shared" si="6"/>
        <v/>
      </c>
      <c r="Q57" s="18" t="str">
        <f t="shared" ca="1" si="7"/>
        <v/>
      </c>
    </row>
    <row r="58" spans="2:17" ht="16.5" customHeight="1" x14ac:dyDescent="0.25">
      <c r="B58" s="18" t="str">
        <f>IF($C58="","",COUNT($C$14:$C58))</f>
        <v/>
      </c>
      <c r="C58" s="19"/>
      <c r="D58" s="20"/>
      <c r="E58" s="20"/>
      <c r="F58" s="20"/>
      <c r="G58" s="20"/>
      <c r="H58" s="21"/>
      <c r="I58" s="22"/>
      <c r="J58" s="23"/>
      <c r="K58" s="24" t="str">
        <f t="shared" si="4"/>
        <v/>
      </c>
      <c r="L58" s="25" t="str">
        <f t="shared" si="5"/>
        <v/>
      </c>
      <c r="M58" s="20"/>
      <c r="N58" s="19"/>
      <c r="O58" s="26"/>
      <c r="P58" s="24" t="str">
        <f t="shared" si="6"/>
        <v/>
      </c>
      <c r="Q58" s="18" t="str">
        <f t="shared" ca="1" si="7"/>
        <v/>
      </c>
    </row>
    <row r="59" spans="2:17" ht="16.5" customHeight="1" x14ac:dyDescent="0.25">
      <c r="B59" s="18" t="str">
        <f>IF($C59="","",COUNT($C$14:$C59))</f>
        <v/>
      </c>
      <c r="C59" s="19"/>
      <c r="D59" s="20"/>
      <c r="E59" s="20"/>
      <c r="F59" s="20"/>
      <c r="G59" s="20"/>
      <c r="H59" s="21"/>
      <c r="I59" s="22"/>
      <c r="J59" s="23"/>
      <c r="K59" s="24" t="str">
        <f t="shared" si="4"/>
        <v/>
      </c>
      <c r="L59" s="25" t="str">
        <f t="shared" si="5"/>
        <v/>
      </c>
      <c r="M59" s="20"/>
      <c r="N59" s="19"/>
      <c r="O59" s="26"/>
      <c r="P59" s="24" t="str">
        <f t="shared" si="6"/>
        <v/>
      </c>
      <c r="Q59" s="18" t="str">
        <f t="shared" ca="1" si="7"/>
        <v/>
      </c>
    </row>
    <row r="60" spans="2:17" ht="16.5" customHeight="1" x14ac:dyDescent="0.25">
      <c r="B60" s="18" t="str">
        <f>IF($C60="","",COUNT($C$14:$C60))</f>
        <v/>
      </c>
      <c r="C60" s="19"/>
      <c r="D60" s="20"/>
      <c r="E60" s="20"/>
      <c r="F60" s="20"/>
      <c r="G60" s="20"/>
      <c r="H60" s="21"/>
      <c r="I60" s="22"/>
      <c r="J60" s="23"/>
      <c r="K60" s="24" t="str">
        <f t="shared" si="4"/>
        <v/>
      </c>
      <c r="L60" s="25" t="str">
        <f t="shared" si="5"/>
        <v/>
      </c>
      <c r="M60" s="20"/>
      <c r="N60" s="19"/>
      <c r="O60" s="26"/>
      <c r="P60" s="24" t="str">
        <f t="shared" si="6"/>
        <v/>
      </c>
      <c r="Q60" s="18" t="str">
        <f t="shared" ca="1" si="7"/>
        <v/>
      </c>
    </row>
    <row r="61" spans="2:17" ht="16.5" customHeight="1" x14ac:dyDescent="0.25">
      <c r="B61" s="18" t="str">
        <f>IF($C61="","",COUNT($C$14:$C61))</f>
        <v/>
      </c>
      <c r="C61" s="19"/>
      <c r="D61" s="20"/>
      <c r="E61" s="20"/>
      <c r="F61" s="20"/>
      <c r="G61" s="20"/>
      <c r="H61" s="21"/>
      <c r="I61" s="22"/>
      <c r="J61" s="23"/>
      <c r="K61" s="24" t="str">
        <f t="shared" si="4"/>
        <v/>
      </c>
      <c r="L61" s="25" t="str">
        <f t="shared" si="5"/>
        <v/>
      </c>
      <c r="M61" s="20"/>
      <c r="N61" s="19"/>
      <c r="O61" s="26"/>
      <c r="P61" s="24" t="str">
        <f t="shared" si="6"/>
        <v/>
      </c>
      <c r="Q61" s="18" t="str">
        <f t="shared" ca="1" si="7"/>
        <v/>
      </c>
    </row>
    <row r="62" spans="2:17" ht="16.5" customHeight="1" x14ac:dyDescent="0.25">
      <c r="B62" s="18" t="str">
        <f>IF($C62="","",COUNT($C$14:$C62))</f>
        <v/>
      </c>
      <c r="C62" s="19"/>
      <c r="D62" s="20"/>
      <c r="E62" s="20"/>
      <c r="F62" s="20"/>
      <c r="G62" s="20"/>
      <c r="H62" s="21"/>
      <c r="I62" s="22"/>
      <c r="J62" s="23"/>
      <c r="K62" s="24" t="str">
        <f t="shared" si="4"/>
        <v/>
      </c>
      <c r="L62" s="25" t="str">
        <f t="shared" si="5"/>
        <v/>
      </c>
      <c r="M62" s="20"/>
      <c r="N62" s="19"/>
      <c r="O62" s="26"/>
      <c r="P62" s="24" t="str">
        <f t="shared" si="6"/>
        <v/>
      </c>
      <c r="Q62" s="18" t="str">
        <f t="shared" ca="1" si="7"/>
        <v/>
      </c>
    </row>
    <row r="63" spans="2:17" ht="16.5" customHeight="1" x14ac:dyDescent="0.25">
      <c r="B63" s="18" t="str">
        <f>IF($C63="","",COUNT($C$14:$C63))</f>
        <v/>
      </c>
      <c r="C63" s="19"/>
      <c r="D63" s="20"/>
      <c r="E63" s="20"/>
      <c r="F63" s="20"/>
      <c r="G63" s="20"/>
      <c r="H63" s="21"/>
      <c r="I63" s="22"/>
      <c r="J63" s="23"/>
      <c r="K63" s="24" t="str">
        <f t="shared" si="4"/>
        <v/>
      </c>
      <c r="L63" s="25" t="str">
        <f t="shared" si="5"/>
        <v/>
      </c>
      <c r="M63" s="20"/>
      <c r="N63" s="19"/>
      <c r="O63" s="26"/>
      <c r="P63" s="24" t="str">
        <f t="shared" si="6"/>
        <v/>
      </c>
      <c r="Q63" s="18" t="str">
        <f t="shared" ca="1" si="7"/>
        <v/>
      </c>
    </row>
    <row r="64" spans="2:17" ht="16.5" customHeight="1" x14ac:dyDescent="0.25">
      <c r="B64" s="18" t="str">
        <f>IF($C64="","",COUNT($C$14:$C64))</f>
        <v/>
      </c>
      <c r="C64" s="19"/>
      <c r="D64" s="20"/>
      <c r="E64" s="20"/>
      <c r="F64" s="20"/>
      <c r="G64" s="20"/>
      <c r="H64" s="21"/>
      <c r="I64" s="22"/>
      <c r="J64" s="23"/>
      <c r="K64" s="24" t="str">
        <f t="shared" si="4"/>
        <v/>
      </c>
      <c r="L64" s="25" t="str">
        <f t="shared" si="5"/>
        <v/>
      </c>
      <c r="M64" s="20"/>
      <c r="N64" s="19"/>
      <c r="O64" s="26"/>
      <c r="P64" s="24" t="str">
        <f t="shared" si="6"/>
        <v/>
      </c>
      <c r="Q64" s="18" t="str">
        <f t="shared" ca="1" si="7"/>
        <v/>
      </c>
    </row>
    <row r="65" spans="2:17" ht="16.5" customHeight="1" x14ac:dyDescent="0.25">
      <c r="B65" s="18" t="str">
        <f>IF($C65="","",COUNT($C$14:$C65))</f>
        <v/>
      </c>
      <c r="C65" s="19"/>
      <c r="D65" s="20"/>
      <c r="E65" s="20"/>
      <c r="F65" s="20"/>
      <c r="G65" s="20"/>
      <c r="H65" s="21"/>
      <c r="I65" s="22"/>
      <c r="J65" s="23"/>
      <c r="K65" s="24" t="str">
        <f t="shared" si="4"/>
        <v/>
      </c>
      <c r="L65" s="25" t="str">
        <f t="shared" si="5"/>
        <v/>
      </c>
      <c r="M65" s="20"/>
      <c r="N65" s="19"/>
      <c r="O65" s="26"/>
      <c r="P65" s="24" t="str">
        <f t="shared" si="6"/>
        <v/>
      </c>
      <c r="Q65" s="18" t="str">
        <f t="shared" ca="1" si="7"/>
        <v/>
      </c>
    </row>
    <row r="66" spans="2:17" ht="16.5" customHeight="1" x14ac:dyDescent="0.25">
      <c r="B66" s="18" t="str">
        <f>IF($C66="","",COUNT($C$14:$C66))</f>
        <v/>
      </c>
      <c r="C66" s="19"/>
      <c r="D66" s="20"/>
      <c r="E66" s="20"/>
      <c r="F66" s="20"/>
      <c r="G66" s="20"/>
      <c r="H66" s="21"/>
      <c r="I66" s="22"/>
      <c r="J66" s="23"/>
      <c r="K66" s="24" t="str">
        <f t="shared" si="4"/>
        <v/>
      </c>
      <c r="L66" s="25" t="str">
        <f t="shared" si="5"/>
        <v/>
      </c>
      <c r="M66" s="20"/>
      <c r="N66" s="19"/>
      <c r="O66" s="26"/>
      <c r="P66" s="24" t="str">
        <f t="shared" si="6"/>
        <v/>
      </c>
      <c r="Q66" s="18" t="str">
        <f t="shared" ca="1" si="7"/>
        <v/>
      </c>
    </row>
    <row r="67" spans="2:17" ht="16.5" customHeight="1" x14ac:dyDescent="0.25">
      <c r="B67" s="18" t="str">
        <f>IF($C67="","",COUNT($C$14:$C67))</f>
        <v/>
      </c>
      <c r="C67" s="19"/>
      <c r="D67" s="20"/>
      <c r="E67" s="20"/>
      <c r="F67" s="20"/>
      <c r="G67" s="20"/>
      <c r="H67" s="21"/>
      <c r="I67" s="22"/>
      <c r="J67" s="23"/>
      <c r="K67" s="24" t="str">
        <f t="shared" si="4"/>
        <v/>
      </c>
      <c r="L67" s="25" t="str">
        <f t="shared" si="5"/>
        <v/>
      </c>
      <c r="M67" s="20"/>
      <c r="N67" s="19"/>
      <c r="O67" s="26"/>
      <c r="P67" s="24" t="str">
        <f t="shared" si="6"/>
        <v/>
      </c>
      <c r="Q67" s="18" t="str">
        <f t="shared" ca="1" si="7"/>
        <v/>
      </c>
    </row>
    <row r="68" spans="2:17" ht="16.5" customHeight="1" x14ac:dyDescent="0.25">
      <c r="B68" s="18" t="str">
        <f>IF($C68="","",COUNT($C$14:$C68))</f>
        <v/>
      </c>
      <c r="C68" s="19"/>
      <c r="D68" s="20"/>
      <c r="E68" s="20"/>
      <c r="F68" s="20"/>
      <c r="G68" s="20"/>
      <c r="H68" s="21"/>
      <c r="I68" s="22"/>
      <c r="J68" s="23"/>
      <c r="K68" s="24" t="str">
        <f t="shared" si="4"/>
        <v/>
      </c>
      <c r="L68" s="25" t="str">
        <f t="shared" si="5"/>
        <v/>
      </c>
      <c r="M68" s="20"/>
      <c r="N68" s="19"/>
      <c r="O68" s="26"/>
      <c r="P68" s="24" t="str">
        <f t="shared" si="6"/>
        <v/>
      </c>
      <c r="Q68" s="18" t="str">
        <f t="shared" ca="1" si="7"/>
        <v/>
      </c>
    </row>
    <row r="69" spans="2:17" ht="16.5" customHeight="1" x14ac:dyDescent="0.25">
      <c r="B69" s="18" t="str">
        <f>IF($C69="","",COUNT($C$14:$C69))</f>
        <v/>
      </c>
      <c r="C69" s="19"/>
      <c r="D69" s="20"/>
      <c r="E69" s="20"/>
      <c r="F69" s="20"/>
      <c r="G69" s="20"/>
      <c r="H69" s="21"/>
      <c r="I69" s="22"/>
      <c r="J69" s="23"/>
      <c r="K69" s="24" t="str">
        <f t="shared" si="4"/>
        <v/>
      </c>
      <c r="L69" s="25" t="str">
        <f t="shared" si="5"/>
        <v/>
      </c>
      <c r="M69" s="20"/>
      <c r="N69" s="19"/>
      <c r="O69" s="26"/>
      <c r="P69" s="24" t="str">
        <f t="shared" si="6"/>
        <v/>
      </c>
      <c r="Q69" s="18" t="str">
        <f t="shared" ca="1" si="7"/>
        <v/>
      </c>
    </row>
    <row r="70" spans="2:17" ht="16.5" customHeight="1" x14ac:dyDescent="0.25">
      <c r="B70" s="18" t="str">
        <f>IF($C70="","",COUNT($C$14:$C70))</f>
        <v/>
      </c>
      <c r="C70" s="19"/>
      <c r="D70" s="20"/>
      <c r="E70" s="20"/>
      <c r="F70" s="20"/>
      <c r="G70" s="20"/>
      <c r="H70" s="21"/>
      <c r="I70" s="22"/>
      <c r="J70" s="23"/>
      <c r="K70" s="24" t="str">
        <f t="shared" si="4"/>
        <v/>
      </c>
      <c r="L70" s="25" t="str">
        <f t="shared" si="5"/>
        <v/>
      </c>
      <c r="M70" s="20"/>
      <c r="N70" s="19"/>
      <c r="O70" s="26"/>
      <c r="P70" s="24" t="str">
        <f t="shared" si="6"/>
        <v/>
      </c>
      <c r="Q70" s="18" t="str">
        <f t="shared" ca="1" si="7"/>
        <v/>
      </c>
    </row>
    <row r="71" spans="2:17" ht="16.5" customHeight="1" x14ac:dyDescent="0.25">
      <c r="B71" s="18" t="str">
        <f>IF($C71="","",COUNT($C$14:$C71))</f>
        <v/>
      </c>
      <c r="C71" s="19"/>
      <c r="D71" s="20"/>
      <c r="E71" s="20"/>
      <c r="F71" s="20"/>
      <c r="G71" s="20"/>
      <c r="H71" s="21"/>
      <c r="I71" s="22"/>
      <c r="J71" s="23"/>
      <c r="K71" s="24" t="str">
        <f t="shared" si="4"/>
        <v/>
      </c>
      <c r="L71" s="25" t="str">
        <f t="shared" si="5"/>
        <v/>
      </c>
      <c r="M71" s="20"/>
      <c r="N71" s="19"/>
      <c r="O71" s="26"/>
      <c r="P71" s="24" t="str">
        <f t="shared" si="6"/>
        <v/>
      </c>
      <c r="Q71" s="18" t="str">
        <f t="shared" ca="1" si="7"/>
        <v/>
      </c>
    </row>
    <row r="72" spans="2:17" ht="16.5" customHeight="1" x14ac:dyDescent="0.25">
      <c r="B72" s="18" t="str">
        <f>IF($C72="","",COUNT($C$14:$C72))</f>
        <v/>
      </c>
      <c r="C72" s="19"/>
      <c r="D72" s="20"/>
      <c r="E72" s="20"/>
      <c r="F72" s="20"/>
      <c r="G72" s="20"/>
      <c r="H72" s="21"/>
      <c r="I72" s="22"/>
      <c r="J72" s="23"/>
      <c r="K72" s="24" t="str">
        <f t="shared" si="4"/>
        <v/>
      </c>
      <c r="L72" s="25" t="str">
        <f t="shared" si="5"/>
        <v/>
      </c>
      <c r="M72" s="20"/>
      <c r="N72" s="19"/>
      <c r="O72" s="26"/>
      <c r="P72" s="24" t="str">
        <f t="shared" si="6"/>
        <v/>
      </c>
      <c r="Q72" s="18" t="str">
        <f t="shared" ca="1" si="7"/>
        <v/>
      </c>
    </row>
    <row r="73" spans="2:17" ht="16.5" customHeight="1" x14ac:dyDescent="0.25">
      <c r="B73" s="18" t="str">
        <f>IF($C73="","",COUNT($C$14:$C73))</f>
        <v/>
      </c>
      <c r="C73" s="19"/>
      <c r="D73" s="20"/>
      <c r="E73" s="20"/>
      <c r="F73" s="20"/>
      <c r="G73" s="20"/>
      <c r="H73" s="21"/>
      <c r="I73" s="22"/>
      <c r="J73" s="23"/>
      <c r="K73" s="24" t="str">
        <f t="shared" si="4"/>
        <v/>
      </c>
      <c r="L73" s="25" t="str">
        <f t="shared" si="5"/>
        <v/>
      </c>
      <c r="M73" s="20"/>
      <c r="N73" s="19"/>
      <c r="O73" s="26"/>
      <c r="P73" s="24" t="str">
        <f t="shared" si="6"/>
        <v/>
      </c>
      <c r="Q73" s="18" t="str">
        <f t="shared" ca="1" si="7"/>
        <v/>
      </c>
    </row>
    <row r="74" spans="2:17" ht="16.5" customHeight="1" x14ac:dyDescent="0.25">
      <c r="B74" s="18" t="str">
        <f>IF($C74="","",COUNT($C$14:$C74))</f>
        <v/>
      </c>
      <c r="C74" s="19"/>
      <c r="D74" s="20"/>
      <c r="E74" s="20"/>
      <c r="F74" s="20"/>
      <c r="G74" s="20"/>
      <c r="H74" s="21"/>
      <c r="I74" s="22"/>
      <c r="J74" s="23"/>
      <c r="K74" s="24" t="str">
        <f t="shared" si="4"/>
        <v/>
      </c>
      <c r="L74" s="25" t="str">
        <f t="shared" si="5"/>
        <v/>
      </c>
      <c r="M74" s="20"/>
      <c r="N74" s="19"/>
      <c r="O74" s="26"/>
      <c r="P74" s="24" t="str">
        <f t="shared" si="6"/>
        <v/>
      </c>
      <c r="Q74" s="18" t="str">
        <f t="shared" ca="1" si="7"/>
        <v/>
      </c>
    </row>
    <row r="75" spans="2:17" ht="16.5" customHeight="1" x14ac:dyDescent="0.25">
      <c r="B75" s="18" t="str">
        <f>IF($C75="","",COUNT($C$14:$C75))</f>
        <v/>
      </c>
      <c r="C75" s="19"/>
      <c r="D75" s="20"/>
      <c r="E75" s="20"/>
      <c r="F75" s="20"/>
      <c r="G75" s="20"/>
      <c r="H75" s="21"/>
      <c r="I75" s="22"/>
      <c r="J75" s="23"/>
      <c r="K75" s="24" t="str">
        <f t="shared" si="4"/>
        <v/>
      </c>
      <c r="L75" s="25" t="str">
        <f t="shared" si="5"/>
        <v/>
      </c>
      <c r="M75" s="20"/>
      <c r="N75" s="19"/>
      <c r="O75" s="26"/>
      <c r="P75" s="24" t="str">
        <f t="shared" si="6"/>
        <v/>
      </c>
      <c r="Q75" s="18" t="str">
        <f t="shared" ca="1" si="7"/>
        <v/>
      </c>
    </row>
    <row r="76" spans="2:17" ht="16.5" customHeight="1" x14ac:dyDescent="0.25">
      <c r="B76" s="18" t="str">
        <f>IF($C76="","",COUNT($C$14:$C76))</f>
        <v/>
      </c>
      <c r="C76" s="19"/>
      <c r="D76" s="20"/>
      <c r="E76" s="20"/>
      <c r="F76" s="20"/>
      <c r="G76" s="20"/>
      <c r="H76" s="21"/>
      <c r="I76" s="22"/>
      <c r="J76" s="23"/>
      <c r="K76" s="24" t="str">
        <f t="shared" si="4"/>
        <v/>
      </c>
      <c r="L76" s="25" t="str">
        <f t="shared" si="5"/>
        <v/>
      </c>
      <c r="M76" s="20"/>
      <c r="N76" s="19"/>
      <c r="O76" s="26"/>
      <c r="P76" s="24" t="str">
        <f t="shared" si="6"/>
        <v/>
      </c>
      <c r="Q76" s="18" t="str">
        <f t="shared" ca="1" si="7"/>
        <v/>
      </c>
    </row>
    <row r="77" spans="2:17" ht="16.5" customHeight="1" x14ac:dyDescent="0.25">
      <c r="B77" s="18" t="str">
        <f>IF($C77="","",COUNT($C$14:$C77))</f>
        <v/>
      </c>
      <c r="C77" s="19"/>
      <c r="D77" s="20"/>
      <c r="E77" s="20"/>
      <c r="F77" s="20"/>
      <c r="G77" s="20"/>
      <c r="H77" s="21"/>
      <c r="I77" s="22"/>
      <c r="J77" s="23"/>
      <c r="K77" s="24" t="str">
        <f t="shared" si="4"/>
        <v/>
      </c>
      <c r="L77" s="25" t="str">
        <f t="shared" si="5"/>
        <v/>
      </c>
      <c r="M77" s="20"/>
      <c r="N77" s="19"/>
      <c r="O77" s="26"/>
      <c r="P77" s="24" t="str">
        <f t="shared" si="6"/>
        <v/>
      </c>
      <c r="Q77" s="18" t="str">
        <f t="shared" ca="1" si="7"/>
        <v/>
      </c>
    </row>
    <row r="78" spans="2:17" ht="16.5" customHeight="1" x14ac:dyDescent="0.25">
      <c r="B78" s="18" t="str">
        <f>IF($C78="","",COUNT($C$14:$C78))</f>
        <v/>
      </c>
      <c r="C78" s="19"/>
      <c r="D78" s="20"/>
      <c r="E78" s="20"/>
      <c r="F78" s="20"/>
      <c r="G78" s="20"/>
      <c r="H78" s="21"/>
      <c r="I78" s="22"/>
      <c r="J78" s="23"/>
      <c r="K78" s="24" t="str">
        <f t="shared" ref="K78:K113" si="8">IF($I78="","",ROUND($I78*$J78,2))</f>
        <v/>
      </c>
      <c r="L78" s="25" t="str">
        <f t="shared" ref="L78:L113" si="9">IF($I78="","",ROUND($I78+$K78,2))</f>
        <v/>
      </c>
      <c r="M78" s="20"/>
      <c r="N78" s="19"/>
      <c r="O78" s="26"/>
      <c r="P78" s="24" t="str">
        <f t="shared" ref="P78:P113" si="10">IF($I78="","",MAX(0,ROUND($L78-$O78,2)))</f>
        <v/>
      </c>
      <c r="Q78" s="18" t="str">
        <f t="shared" ref="Q78:Q113" ca="1" si="11">IF($I78="","",IF($O78&gt;=$L78,"Bezahlt",IF($O78&gt;0,"Teilzahlung",IF(AND($N78&lt;&gt;"",$N78&lt;TODAY()),"Überfällig","Offen"))))</f>
        <v/>
      </c>
    </row>
    <row r="79" spans="2:17" ht="16.5" customHeight="1" x14ac:dyDescent="0.25">
      <c r="B79" s="18" t="str">
        <f>IF($C79="","",COUNT($C$14:$C79))</f>
        <v/>
      </c>
      <c r="C79" s="19"/>
      <c r="D79" s="20"/>
      <c r="E79" s="20"/>
      <c r="F79" s="20"/>
      <c r="G79" s="20"/>
      <c r="H79" s="21"/>
      <c r="I79" s="22"/>
      <c r="J79" s="23"/>
      <c r="K79" s="24" t="str">
        <f t="shared" si="8"/>
        <v/>
      </c>
      <c r="L79" s="25" t="str">
        <f t="shared" si="9"/>
        <v/>
      </c>
      <c r="M79" s="20"/>
      <c r="N79" s="19"/>
      <c r="O79" s="26"/>
      <c r="P79" s="24" t="str">
        <f t="shared" si="10"/>
        <v/>
      </c>
      <c r="Q79" s="18" t="str">
        <f t="shared" ca="1" si="11"/>
        <v/>
      </c>
    </row>
    <row r="80" spans="2:17" ht="16.5" customHeight="1" x14ac:dyDescent="0.25">
      <c r="B80" s="18" t="str">
        <f>IF($C80="","",COUNT($C$14:$C80))</f>
        <v/>
      </c>
      <c r="C80" s="19"/>
      <c r="D80" s="20"/>
      <c r="E80" s="20"/>
      <c r="F80" s="20"/>
      <c r="G80" s="20"/>
      <c r="H80" s="21"/>
      <c r="I80" s="22"/>
      <c r="J80" s="23"/>
      <c r="K80" s="24" t="str">
        <f t="shared" si="8"/>
        <v/>
      </c>
      <c r="L80" s="25" t="str">
        <f t="shared" si="9"/>
        <v/>
      </c>
      <c r="M80" s="20"/>
      <c r="N80" s="19"/>
      <c r="O80" s="26"/>
      <c r="P80" s="24" t="str">
        <f t="shared" si="10"/>
        <v/>
      </c>
      <c r="Q80" s="18" t="str">
        <f t="shared" ca="1" si="11"/>
        <v/>
      </c>
    </row>
    <row r="81" spans="2:17" ht="16.5" customHeight="1" x14ac:dyDescent="0.25">
      <c r="B81" s="18" t="str">
        <f>IF($C81="","",COUNT($C$14:$C81))</f>
        <v/>
      </c>
      <c r="C81" s="19"/>
      <c r="D81" s="20"/>
      <c r="E81" s="20"/>
      <c r="F81" s="20"/>
      <c r="G81" s="20"/>
      <c r="H81" s="21"/>
      <c r="I81" s="22"/>
      <c r="J81" s="23"/>
      <c r="K81" s="24" t="str">
        <f t="shared" si="8"/>
        <v/>
      </c>
      <c r="L81" s="25" t="str">
        <f t="shared" si="9"/>
        <v/>
      </c>
      <c r="M81" s="20"/>
      <c r="N81" s="19"/>
      <c r="O81" s="26"/>
      <c r="P81" s="24" t="str">
        <f t="shared" si="10"/>
        <v/>
      </c>
      <c r="Q81" s="18" t="str">
        <f t="shared" ca="1" si="11"/>
        <v/>
      </c>
    </row>
    <row r="82" spans="2:17" ht="16.5" customHeight="1" x14ac:dyDescent="0.25">
      <c r="B82" s="18" t="str">
        <f>IF($C82="","",COUNT($C$14:$C82))</f>
        <v/>
      </c>
      <c r="C82" s="19"/>
      <c r="D82" s="20"/>
      <c r="E82" s="20"/>
      <c r="F82" s="20"/>
      <c r="G82" s="20"/>
      <c r="H82" s="21"/>
      <c r="I82" s="22"/>
      <c r="J82" s="23"/>
      <c r="K82" s="24" t="str">
        <f t="shared" si="8"/>
        <v/>
      </c>
      <c r="L82" s="25" t="str">
        <f t="shared" si="9"/>
        <v/>
      </c>
      <c r="M82" s="20"/>
      <c r="N82" s="19"/>
      <c r="O82" s="26"/>
      <c r="P82" s="24" t="str">
        <f t="shared" si="10"/>
        <v/>
      </c>
      <c r="Q82" s="18" t="str">
        <f t="shared" ca="1" si="11"/>
        <v/>
      </c>
    </row>
    <row r="83" spans="2:17" ht="16.5" customHeight="1" x14ac:dyDescent="0.25">
      <c r="B83" s="18" t="str">
        <f>IF($C83="","",COUNT($C$14:$C83))</f>
        <v/>
      </c>
      <c r="C83" s="19"/>
      <c r="D83" s="20"/>
      <c r="E83" s="20"/>
      <c r="F83" s="20"/>
      <c r="G83" s="20"/>
      <c r="H83" s="21"/>
      <c r="I83" s="22"/>
      <c r="J83" s="23"/>
      <c r="K83" s="24" t="str">
        <f t="shared" si="8"/>
        <v/>
      </c>
      <c r="L83" s="25" t="str">
        <f t="shared" si="9"/>
        <v/>
      </c>
      <c r="M83" s="20"/>
      <c r="N83" s="19"/>
      <c r="O83" s="26"/>
      <c r="P83" s="24" t="str">
        <f t="shared" si="10"/>
        <v/>
      </c>
      <c r="Q83" s="18" t="str">
        <f t="shared" ca="1" si="11"/>
        <v/>
      </c>
    </row>
    <row r="84" spans="2:17" ht="16.5" customHeight="1" x14ac:dyDescent="0.25">
      <c r="B84" s="18" t="str">
        <f>IF($C84="","",COUNT($C$14:$C84))</f>
        <v/>
      </c>
      <c r="C84" s="19"/>
      <c r="D84" s="20"/>
      <c r="E84" s="20"/>
      <c r="F84" s="20"/>
      <c r="G84" s="20"/>
      <c r="H84" s="21"/>
      <c r="I84" s="22"/>
      <c r="J84" s="23"/>
      <c r="K84" s="24" t="str">
        <f t="shared" si="8"/>
        <v/>
      </c>
      <c r="L84" s="25" t="str">
        <f t="shared" si="9"/>
        <v/>
      </c>
      <c r="M84" s="20"/>
      <c r="N84" s="19"/>
      <c r="O84" s="26"/>
      <c r="P84" s="24" t="str">
        <f t="shared" si="10"/>
        <v/>
      </c>
      <c r="Q84" s="18" t="str">
        <f t="shared" ca="1" si="11"/>
        <v/>
      </c>
    </row>
    <row r="85" spans="2:17" ht="16.5" customHeight="1" x14ac:dyDescent="0.25">
      <c r="B85" s="18" t="str">
        <f>IF($C85="","",COUNT($C$14:$C85))</f>
        <v/>
      </c>
      <c r="C85" s="19"/>
      <c r="D85" s="20"/>
      <c r="E85" s="20"/>
      <c r="F85" s="20"/>
      <c r="G85" s="20"/>
      <c r="H85" s="21"/>
      <c r="I85" s="22"/>
      <c r="J85" s="23"/>
      <c r="K85" s="24" t="str">
        <f t="shared" si="8"/>
        <v/>
      </c>
      <c r="L85" s="25" t="str">
        <f t="shared" si="9"/>
        <v/>
      </c>
      <c r="M85" s="20"/>
      <c r="N85" s="19"/>
      <c r="O85" s="26"/>
      <c r="P85" s="24" t="str">
        <f t="shared" si="10"/>
        <v/>
      </c>
      <c r="Q85" s="18" t="str">
        <f t="shared" ca="1" si="11"/>
        <v/>
      </c>
    </row>
    <row r="86" spans="2:17" ht="16.5" customHeight="1" x14ac:dyDescent="0.25">
      <c r="B86" s="18" t="str">
        <f>IF($C86="","",COUNT($C$14:$C86))</f>
        <v/>
      </c>
      <c r="C86" s="19"/>
      <c r="D86" s="20"/>
      <c r="E86" s="20"/>
      <c r="F86" s="20"/>
      <c r="G86" s="20"/>
      <c r="H86" s="21"/>
      <c r="I86" s="22"/>
      <c r="J86" s="23"/>
      <c r="K86" s="24" t="str">
        <f t="shared" si="8"/>
        <v/>
      </c>
      <c r="L86" s="25" t="str">
        <f t="shared" si="9"/>
        <v/>
      </c>
      <c r="M86" s="20"/>
      <c r="N86" s="19"/>
      <c r="O86" s="26"/>
      <c r="P86" s="24" t="str">
        <f t="shared" si="10"/>
        <v/>
      </c>
      <c r="Q86" s="18" t="str">
        <f t="shared" ca="1" si="11"/>
        <v/>
      </c>
    </row>
    <row r="87" spans="2:17" ht="16.5" customHeight="1" x14ac:dyDescent="0.25">
      <c r="B87" s="18" t="str">
        <f>IF($C87="","",COUNT($C$14:$C87))</f>
        <v/>
      </c>
      <c r="C87" s="19"/>
      <c r="D87" s="20"/>
      <c r="E87" s="20"/>
      <c r="F87" s="20"/>
      <c r="G87" s="20"/>
      <c r="H87" s="21"/>
      <c r="I87" s="22"/>
      <c r="J87" s="23"/>
      <c r="K87" s="24" t="str">
        <f t="shared" si="8"/>
        <v/>
      </c>
      <c r="L87" s="25" t="str">
        <f t="shared" si="9"/>
        <v/>
      </c>
      <c r="M87" s="20"/>
      <c r="N87" s="19"/>
      <c r="O87" s="26"/>
      <c r="P87" s="24" t="str">
        <f t="shared" si="10"/>
        <v/>
      </c>
      <c r="Q87" s="18" t="str">
        <f t="shared" ca="1" si="11"/>
        <v/>
      </c>
    </row>
    <row r="88" spans="2:17" ht="16.5" customHeight="1" x14ac:dyDescent="0.25">
      <c r="B88" s="18" t="str">
        <f>IF($C88="","",COUNT($C$14:$C88))</f>
        <v/>
      </c>
      <c r="C88" s="19"/>
      <c r="D88" s="20"/>
      <c r="E88" s="20"/>
      <c r="F88" s="20"/>
      <c r="G88" s="20"/>
      <c r="H88" s="21"/>
      <c r="I88" s="22"/>
      <c r="J88" s="23"/>
      <c r="K88" s="24" t="str">
        <f t="shared" si="8"/>
        <v/>
      </c>
      <c r="L88" s="25" t="str">
        <f t="shared" si="9"/>
        <v/>
      </c>
      <c r="M88" s="20"/>
      <c r="N88" s="19"/>
      <c r="O88" s="26"/>
      <c r="P88" s="24" t="str">
        <f t="shared" si="10"/>
        <v/>
      </c>
      <c r="Q88" s="18" t="str">
        <f t="shared" ca="1" si="11"/>
        <v/>
      </c>
    </row>
    <row r="89" spans="2:17" ht="16.5" customHeight="1" x14ac:dyDescent="0.25">
      <c r="B89" s="18" t="str">
        <f>IF($C89="","",COUNT($C$14:$C89))</f>
        <v/>
      </c>
      <c r="C89" s="19"/>
      <c r="D89" s="20"/>
      <c r="E89" s="20"/>
      <c r="F89" s="20"/>
      <c r="G89" s="20"/>
      <c r="H89" s="21"/>
      <c r="I89" s="22"/>
      <c r="J89" s="23"/>
      <c r="K89" s="24" t="str">
        <f t="shared" si="8"/>
        <v/>
      </c>
      <c r="L89" s="25" t="str">
        <f t="shared" si="9"/>
        <v/>
      </c>
      <c r="M89" s="20"/>
      <c r="N89" s="19"/>
      <c r="O89" s="26"/>
      <c r="P89" s="24" t="str">
        <f t="shared" si="10"/>
        <v/>
      </c>
      <c r="Q89" s="18" t="str">
        <f t="shared" ca="1" si="11"/>
        <v/>
      </c>
    </row>
    <row r="90" spans="2:17" ht="16.5" customHeight="1" x14ac:dyDescent="0.25">
      <c r="B90" s="18" t="str">
        <f>IF($C90="","",COUNT($C$14:$C90))</f>
        <v/>
      </c>
      <c r="C90" s="19"/>
      <c r="D90" s="20"/>
      <c r="E90" s="20"/>
      <c r="F90" s="20"/>
      <c r="G90" s="20"/>
      <c r="H90" s="21"/>
      <c r="I90" s="22"/>
      <c r="J90" s="23"/>
      <c r="K90" s="24" t="str">
        <f t="shared" si="8"/>
        <v/>
      </c>
      <c r="L90" s="25" t="str">
        <f t="shared" si="9"/>
        <v/>
      </c>
      <c r="M90" s="20"/>
      <c r="N90" s="19"/>
      <c r="O90" s="26"/>
      <c r="P90" s="24" t="str">
        <f t="shared" si="10"/>
        <v/>
      </c>
      <c r="Q90" s="18" t="str">
        <f t="shared" ca="1" si="11"/>
        <v/>
      </c>
    </row>
    <row r="91" spans="2:17" ht="16.5" customHeight="1" x14ac:dyDescent="0.25">
      <c r="B91" s="18" t="str">
        <f>IF($C91="","",COUNT($C$14:$C91))</f>
        <v/>
      </c>
      <c r="C91" s="19"/>
      <c r="D91" s="20"/>
      <c r="E91" s="20"/>
      <c r="F91" s="20"/>
      <c r="G91" s="20"/>
      <c r="H91" s="21"/>
      <c r="I91" s="22"/>
      <c r="J91" s="23"/>
      <c r="K91" s="24" t="str">
        <f t="shared" si="8"/>
        <v/>
      </c>
      <c r="L91" s="25" t="str">
        <f t="shared" si="9"/>
        <v/>
      </c>
      <c r="M91" s="20"/>
      <c r="N91" s="19"/>
      <c r="O91" s="26"/>
      <c r="P91" s="24" t="str">
        <f t="shared" si="10"/>
        <v/>
      </c>
      <c r="Q91" s="18" t="str">
        <f t="shared" ca="1" si="11"/>
        <v/>
      </c>
    </row>
    <row r="92" spans="2:17" ht="16.5" customHeight="1" x14ac:dyDescent="0.25">
      <c r="B92" s="18" t="str">
        <f>IF($C92="","",COUNT($C$14:$C92))</f>
        <v/>
      </c>
      <c r="C92" s="19"/>
      <c r="D92" s="20"/>
      <c r="E92" s="20"/>
      <c r="F92" s="20"/>
      <c r="G92" s="20"/>
      <c r="H92" s="21"/>
      <c r="I92" s="22"/>
      <c r="J92" s="23"/>
      <c r="K92" s="24" t="str">
        <f t="shared" si="8"/>
        <v/>
      </c>
      <c r="L92" s="25" t="str">
        <f t="shared" si="9"/>
        <v/>
      </c>
      <c r="M92" s="20"/>
      <c r="N92" s="19"/>
      <c r="O92" s="26"/>
      <c r="P92" s="24" t="str">
        <f t="shared" si="10"/>
        <v/>
      </c>
      <c r="Q92" s="18" t="str">
        <f t="shared" ca="1" si="11"/>
        <v/>
      </c>
    </row>
    <row r="93" spans="2:17" ht="16.5" customHeight="1" x14ac:dyDescent="0.25">
      <c r="B93" s="18" t="str">
        <f>IF($C93="","",COUNT($C$14:$C93))</f>
        <v/>
      </c>
      <c r="C93" s="19"/>
      <c r="D93" s="20"/>
      <c r="E93" s="20"/>
      <c r="F93" s="20"/>
      <c r="G93" s="20"/>
      <c r="H93" s="21"/>
      <c r="I93" s="22"/>
      <c r="J93" s="23"/>
      <c r="K93" s="24" t="str">
        <f t="shared" si="8"/>
        <v/>
      </c>
      <c r="L93" s="25" t="str">
        <f t="shared" si="9"/>
        <v/>
      </c>
      <c r="M93" s="20"/>
      <c r="N93" s="19"/>
      <c r="O93" s="26"/>
      <c r="P93" s="24" t="str">
        <f t="shared" si="10"/>
        <v/>
      </c>
      <c r="Q93" s="18" t="str">
        <f t="shared" ca="1" si="11"/>
        <v/>
      </c>
    </row>
    <row r="94" spans="2:17" ht="16.5" customHeight="1" x14ac:dyDescent="0.25">
      <c r="B94" s="18" t="str">
        <f>IF($C94="","",COUNT($C$14:$C94))</f>
        <v/>
      </c>
      <c r="C94" s="19"/>
      <c r="D94" s="20"/>
      <c r="E94" s="20"/>
      <c r="F94" s="20"/>
      <c r="G94" s="20"/>
      <c r="H94" s="21"/>
      <c r="I94" s="22"/>
      <c r="J94" s="23"/>
      <c r="K94" s="24" t="str">
        <f t="shared" si="8"/>
        <v/>
      </c>
      <c r="L94" s="25" t="str">
        <f t="shared" si="9"/>
        <v/>
      </c>
      <c r="M94" s="20"/>
      <c r="N94" s="19"/>
      <c r="O94" s="26"/>
      <c r="P94" s="24" t="str">
        <f t="shared" si="10"/>
        <v/>
      </c>
      <c r="Q94" s="18" t="str">
        <f t="shared" ca="1" si="11"/>
        <v/>
      </c>
    </row>
    <row r="95" spans="2:17" ht="16.5" customHeight="1" x14ac:dyDescent="0.25">
      <c r="B95" s="18" t="str">
        <f>IF($C95="","",COUNT($C$14:$C95))</f>
        <v/>
      </c>
      <c r="C95" s="19"/>
      <c r="D95" s="20"/>
      <c r="E95" s="20"/>
      <c r="F95" s="20"/>
      <c r="G95" s="20"/>
      <c r="H95" s="21"/>
      <c r="I95" s="22"/>
      <c r="J95" s="23"/>
      <c r="K95" s="24" t="str">
        <f t="shared" si="8"/>
        <v/>
      </c>
      <c r="L95" s="25" t="str">
        <f t="shared" si="9"/>
        <v/>
      </c>
      <c r="M95" s="20"/>
      <c r="N95" s="19"/>
      <c r="O95" s="26"/>
      <c r="P95" s="24" t="str">
        <f t="shared" si="10"/>
        <v/>
      </c>
      <c r="Q95" s="18" t="str">
        <f t="shared" ca="1" si="11"/>
        <v/>
      </c>
    </row>
    <row r="96" spans="2:17" ht="16.5" customHeight="1" x14ac:dyDescent="0.25">
      <c r="B96" s="18" t="str">
        <f>IF($C96="","",COUNT($C$14:$C96))</f>
        <v/>
      </c>
      <c r="C96" s="19"/>
      <c r="D96" s="20"/>
      <c r="E96" s="20"/>
      <c r="F96" s="20"/>
      <c r="G96" s="20"/>
      <c r="H96" s="21"/>
      <c r="I96" s="22"/>
      <c r="J96" s="23"/>
      <c r="K96" s="24" t="str">
        <f t="shared" si="8"/>
        <v/>
      </c>
      <c r="L96" s="25" t="str">
        <f t="shared" si="9"/>
        <v/>
      </c>
      <c r="M96" s="20"/>
      <c r="N96" s="19"/>
      <c r="O96" s="26"/>
      <c r="P96" s="24" t="str">
        <f t="shared" si="10"/>
        <v/>
      </c>
      <c r="Q96" s="18" t="str">
        <f t="shared" ca="1" si="11"/>
        <v/>
      </c>
    </row>
    <row r="97" spans="2:17" ht="16.5" customHeight="1" x14ac:dyDescent="0.25">
      <c r="B97" s="18" t="str">
        <f>IF($C97="","",COUNT($C$14:$C97))</f>
        <v/>
      </c>
      <c r="C97" s="19"/>
      <c r="D97" s="20"/>
      <c r="E97" s="20"/>
      <c r="F97" s="20"/>
      <c r="G97" s="20"/>
      <c r="H97" s="21"/>
      <c r="I97" s="22"/>
      <c r="J97" s="23"/>
      <c r="K97" s="24" t="str">
        <f t="shared" si="8"/>
        <v/>
      </c>
      <c r="L97" s="25" t="str">
        <f t="shared" si="9"/>
        <v/>
      </c>
      <c r="M97" s="20"/>
      <c r="N97" s="19"/>
      <c r="O97" s="26"/>
      <c r="P97" s="24" t="str">
        <f t="shared" si="10"/>
        <v/>
      </c>
      <c r="Q97" s="18" t="str">
        <f t="shared" ca="1" si="11"/>
        <v/>
      </c>
    </row>
    <row r="98" spans="2:17" ht="16.5" customHeight="1" x14ac:dyDescent="0.25">
      <c r="B98" s="18" t="str">
        <f>IF($C98="","",COUNT($C$14:$C98))</f>
        <v/>
      </c>
      <c r="C98" s="19"/>
      <c r="D98" s="20"/>
      <c r="E98" s="20"/>
      <c r="F98" s="20"/>
      <c r="G98" s="20"/>
      <c r="H98" s="21"/>
      <c r="I98" s="22"/>
      <c r="J98" s="23"/>
      <c r="K98" s="24" t="str">
        <f t="shared" si="8"/>
        <v/>
      </c>
      <c r="L98" s="25" t="str">
        <f t="shared" si="9"/>
        <v/>
      </c>
      <c r="M98" s="20"/>
      <c r="N98" s="19"/>
      <c r="O98" s="26"/>
      <c r="P98" s="24" t="str">
        <f t="shared" si="10"/>
        <v/>
      </c>
      <c r="Q98" s="18" t="str">
        <f t="shared" ca="1" si="11"/>
        <v/>
      </c>
    </row>
    <row r="99" spans="2:17" ht="16.5" customHeight="1" x14ac:dyDescent="0.25">
      <c r="B99" s="18" t="str">
        <f>IF($C99="","",COUNT($C$14:$C99))</f>
        <v/>
      </c>
      <c r="C99" s="19"/>
      <c r="D99" s="20"/>
      <c r="E99" s="20"/>
      <c r="F99" s="20"/>
      <c r="G99" s="20"/>
      <c r="H99" s="21"/>
      <c r="I99" s="22"/>
      <c r="J99" s="23"/>
      <c r="K99" s="24" t="str">
        <f t="shared" si="8"/>
        <v/>
      </c>
      <c r="L99" s="25" t="str">
        <f t="shared" si="9"/>
        <v/>
      </c>
      <c r="M99" s="20"/>
      <c r="N99" s="19"/>
      <c r="O99" s="26"/>
      <c r="P99" s="24" t="str">
        <f t="shared" si="10"/>
        <v/>
      </c>
      <c r="Q99" s="18" t="str">
        <f t="shared" ca="1" si="11"/>
        <v/>
      </c>
    </row>
    <row r="100" spans="2:17" ht="16.5" customHeight="1" x14ac:dyDescent="0.25">
      <c r="B100" s="18" t="str">
        <f>IF($C100="","",COUNT($C$14:$C100))</f>
        <v/>
      </c>
      <c r="C100" s="19"/>
      <c r="D100" s="20"/>
      <c r="E100" s="20"/>
      <c r="F100" s="20"/>
      <c r="G100" s="20"/>
      <c r="H100" s="21"/>
      <c r="I100" s="22"/>
      <c r="J100" s="23"/>
      <c r="K100" s="24" t="str">
        <f t="shared" si="8"/>
        <v/>
      </c>
      <c r="L100" s="25" t="str">
        <f t="shared" si="9"/>
        <v/>
      </c>
      <c r="M100" s="20"/>
      <c r="N100" s="19"/>
      <c r="O100" s="26"/>
      <c r="P100" s="24" t="str">
        <f t="shared" si="10"/>
        <v/>
      </c>
      <c r="Q100" s="18" t="str">
        <f t="shared" ca="1" si="11"/>
        <v/>
      </c>
    </row>
    <row r="101" spans="2:17" ht="16.5" customHeight="1" x14ac:dyDescent="0.25">
      <c r="B101" s="18" t="str">
        <f>IF($C101="","",COUNT($C$14:$C101))</f>
        <v/>
      </c>
      <c r="C101" s="19"/>
      <c r="D101" s="20"/>
      <c r="E101" s="20"/>
      <c r="F101" s="20"/>
      <c r="G101" s="20"/>
      <c r="H101" s="21"/>
      <c r="I101" s="22"/>
      <c r="J101" s="23"/>
      <c r="K101" s="24" t="str">
        <f t="shared" si="8"/>
        <v/>
      </c>
      <c r="L101" s="25" t="str">
        <f t="shared" si="9"/>
        <v/>
      </c>
      <c r="M101" s="20"/>
      <c r="N101" s="19"/>
      <c r="O101" s="26"/>
      <c r="P101" s="24" t="str">
        <f t="shared" si="10"/>
        <v/>
      </c>
      <c r="Q101" s="18" t="str">
        <f t="shared" ca="1" si="11"/>
        <v/>
      </c>
    </row>
    <row r="102" spans="2:17" ht="16.5" customHeight="1" x14ac:dyDescent="0.25">
      <c r="B102" s="18" t="str">
        <f>IF($C102="","",COUNT($C$14:$C102))</f>
        <v/>
      </c>
      <c r="C102" s="19"/>
      <c r="D102" s="20"/>
      <c r="E102" s="20"/>
      <c r="F102" s="20"/>
      <c r="G102" s="20"/>
      <c r="H102" s="21"/>
      <c r="I102" s="22"/>
      <c r="J102" s="23"/>
      <c r="K102" s="24" t="str">
        <f t="shared" si="8"/>
        <v/>
      </c>
      <c r="L102" s="25" t="str">
        <f t="shared" si="9"/>
        <v/>
      </c>
      <c r="M102" s="20"/>
      <c r="N102" s="19"/>
      <c r="O102" s="26"/>
      <c r="P102" s="24" t="str">
        <f t="shared" si="10"/>
        <v/>
      </c>
      <c r="Q102" s="18" t="str">
        <f t="shared" ca="1" si="11"/>
        <v/>
      </c>
    </row>
    <row r="103" spans="2:17" ht="16.5" customHeight="1" x14ac:dyDescent="0.25">
      <c r="B103" s="18" t="str">
        <f>IF($C103="","",COUNT($C$14:$C103))</f>
        <v/>
      </c>
      <c r="C103" s="19"/>
      <c r="D103" s="20"/>
      <c r="E103" s="20"/>
      <c r="F103" s="20"/>
      <c r="G103" s="20"/>
      <c r="H103" s="21"/>
      <c r="I103" s="22"/>
      <c r="J103" s="23"/>
      <c r="K103" s="24" t="str">
        <f t="shared" si="8"/>
        <v/>
      </c>
      <c r="L103" s="25" t="str">
        <f t="shared" si="9"/>
        <v/>
      </c>
      <c r="M103" s="20"/>
      <c r="N103" s="19"/>
      <c r="O103" s="26"/>
      <c r="P103" s="24" t="str">
        <f t="shared" si="10"/>
        <v/>
      </c>
      <c r="Q103" s="18" t="str">
        <f t="shared" ca="1" si="11"/>
        <v/>
      </c>
    </row>
    <row r="104" spans="2:17" ht="16.5" customHeight="1" x14ac:dyDescent="0.25">
      <c r="B104" s="18" t="str">
        <f>IF($C104="","",COUNT($C$14:$C104))</f>
        <v/>
      </c>
      <c r="C104" s="19"/>
      <c r="D104" s="20"/>
      <c r="E104" s="20"/>
      <c r="F104" s="20"/>
      <c r="G104" s="20"/>
      <c r="H104" s="21"/>
      <c r="I104" s="22"/>
      <c r="J104" s="23"/>
      <c r="K104" s="24" t="str">
        <f t="shared" si="8"/>
        <v/>
      </c>
      <c r="L104" s="25" t="str">
        <f t="shared" si="9"/>
        <v/>
      </c>
      <c r="M104" s="20"/>
      <c r="N104" s="19"/>
      <c r="O104" s="26"/>
      <c r="P104" s="24" t="str">
        <f t="shared" si="10"/>
        <v/>
      </c>
      <c r="Q104" s="18" t="str">
        <f t="shared" ca="1" si="11"/>
        <v/>
      </c>
    </row>
    <row r="105" spans="2:17" ht="16.5" customHeight="1" x14ac:dyDescent="0.25">
      <c r="B105" s="18" t="str">
        <f>IF($C105="","",COUNT($C$14:$C105))</f>
        <v/>
      </c>
      <c r="C105" s="19"/>
      <c r="D105" s="20"/>
      <c r="E105" s="20"/>
      <c r="F105" s="20"/>
      <c r="G105" s="20"/>
      <c r="H105" s="21"/>
      <c r="I105" s="22"/>
      <c r="J105" s="23"/>
      <c r="K105" s="24" t="str">
        <f t="shared" si="8"/>
        <v/>
      </c>
      <c r="L105" s="25" t="str">
        <f t="shared" si="9"/>
        <v/>
      </c>
      <c r="M105" s="20"/>
      <c r="N105" s="19"/>
      <c r="O105" s="26"/>
      <c r="P105" s="24" t="str">
        <f t="shared" si="10"/>
        <v/>
      </c>
      <c r="Q105" s="18" t="str">
        <f t="shared" ca="1" si="11"/>
        <v/>
      </c>
    </row>
    <row r="106" spans="2:17" ht="16.5" customHeight="1" x14ac:dyDescent="0.25">
      <c r="B106" s="18" t="str">
        <f>IF($C106="","",COUNT($C$14:$C106))</f>
        <v/>
      </c>
      <c r="C106" s="19"/>
      <c r="D106" s="20"/>
      <c r="E106" s="20"/>
      <c r="F106" s="20"/>
      <c r="G106" s="20"/>
      <c r="H106" s="21"/>
      <c r="I106" s="22"/>
      <c r="J106" s="23"/>
      <c r="K106" s="24" t="str">
        <f t="shared" si="8"/>
        <v/>
      </c>
      <c r="L106" s="25" t="str">
        <f t="shared" si="9"/>
        <v/>
      </c>
      <c r="M106" s="20"/>
      <c r="N106" s="19"/>
      <c r="O106" s="26"/>
      <c r="P106" s="24" t="str">
        <f t="shared" si="10"/>
        <v/>
      </c>
      <c r="Q106" s="18" t="str">
        <f t="shared" ca="1" si="11"/>
        <v/>
      </c>
    </row>
    <row r="107" spans="2:17" ht="16.5" customHeight="1" x14ac:dyDescent="0.25">
      <c r="B107" s="18" t="str">
        <f>IF($C107="","",COUNT($C$14:$C107))</f>
        <v/>
      </c>
      <c r="C107" s="19"/>
      <c r="D107" s="20"/>
      <c r="E107" s="20"/>
      <c r="F107" s="20"/>
      <c r="G107" s="20"/>
      <c r="H107" s="21"/>
      <c r="I107" s="22"/>
      <c r="J107" s="23"/>
      <c r="K107" s="24" t="str">
        <f t="shared" si="8"/>
        <v/>
      </c>
      <c r="L107" s="25" t="str">
        <f t="shared" si="9"/>
        <v/>
      </c>
      <c r="M107" s="20"/>
      <c r="N107" s="19"/>
      <c r="O107" s="26"/>
      <c r="P107" s="24" t="str">
        <f t="shared" si="10"/>
        <v/>
      </c>
      <c r="Q107" s="18" t="str">
        <f t="shared" ca="1" si="11"/>
        <v/>
      </c>
    </row>
    <row r="108" spans="2:17" ht="16.5" customHeight="1" x14ac:dyDescent="0.25">
      <c r="B108" s="18" t="str">
        <f>IF($C108="","",COUNT($C$14:$C108))</f>
        <v/>
      </c>
      <c r="C108" s="19"/>
      <c r="D108" s="20"/>
      <c r="E108" s="20"/>
      <c r="F108" s="20"/>
      <c r="G108" s="20"/>
      <c r="H108" s="21"/>
      <c r="I108" s="22"/>
      <c r="J108" s="23"/>
      <c r="K108" s="24" t="str">
        <f t="shared" si="8"/>
        <v/>
      </c>
      <c r="L108" s="25" t="str">
        <f t="shared" si="9"/>
        <v/>
      </c>
      <c r="M108" s="20"/>
      <c r="N108" s="19"/>
      <c r="O108" s="26"/>
      <c r="P108" s="24" t="str">
        <f t="shared" si="10"/>
        <v/>
      </c>
      <c r="Q108" s="18" t="str">
        <f t="shared" ca="1" si="11"/>
        <v/>
      </c>
    </row>
    <row r="109" spans="2:17" ht="16.5" customHeight="1" x14ac:dyDescent="0.25">
      <c r="B109" s="18" t="str">
        <f>IF($C109="","",COUNT($C$14:$C109))</f>
        <v/>
      </c>
      <c r="C109" s="19"/>
      <c r="D109" s="20"/>
      <c r="E109" s="20"/>
      <c r="F109" s="20"/>
      <c r="G109" s="20"/>
      <c r="H109" s="21"/>
      <c r="I109" s="22"/>
      <c r="J109" s="23"/>
      <c r="K109" s="24" t="str">
        <f t="shared" si="8"/>
        <v/>
      </c>
      <c r="L109" s="25" t="str">
        <f t="shared" si="9"/>
        <v/>
      </c>
      <c r="M109" s="20"/>
      <c r="N109" s="19"/>
      <c r="O109" s="26"/>
      <c r="P109" s="24" t="str">
        <f t="shared" si="10"/>
        <v/>
      </c>
      <c r="Q109" s="18" t="str">
        <f t="shared" ca="1" si="11"/>
        <v/>
      </c>
    </row>
    <row r="110" spans="2:17" ht="16.5" customHeight="1" x14ac:dyDescent="0.25">
      <c r="B110" s="18" t="str">
        <f>IF($C110="","",COUNT($C$14:$C110))</f>
        <v/>
      </c>
      <c r="C110" s="19"/>
      <c r="D110" s="20"/>
      <c r="E110" s="20"/>
      <c r="F110" s="20"/>
      <c r="G110" s="20"/>
      <c r="H110" s="21"/>
      <c r="I110" s="22"/>
      <c r="J110" s="23"/>
      <c r="K110" s="24" t="str">
        <f t="shared" si="8"/>
        <v/>
      </c>
      <c r="L110" s="25" t="str">
        <f t="shared" si="9"/>
        <v/>
      </c>
      <c r="M110" s="20"/>
      <c r="N110" s="19"/>
      <c r="O110" s="26"/>
      <c r="P110" s="24" t="str">
        <f t="shared" si="10"/>
        <v/>
      </c>
      <c r="Q110" s="18" t="str">
        <f t="shared" ca="1" si="11"/>
        <v/>
      </c>
    </row>
    <row r="111" spans="2:17" ht="16.5" customHeight="1" x14ac:dyDescent="0.25">
      <c r="B111" s="18" t="str">
        <f>IF($C111="","",COUNT($C$14:$C111))</f>
        <v/>
      </c>
      <c r="C111" s="19"/>
      <c r="D111" s="20"/>
      <c r="E111" s="20"/>
      <c r="F111" s="20"/>
      <c r="G111" s="20"/>
      <c r="H111" s="21"/>
      <c r="I111" s="22"/>
      <c r="J111" s="23"/>
      <c r="K111" s="24" t="str">
        <f t="shared" si="8"/>
        <v/>
      </c>
      <c r="L111" s="25" t="str">
        <f t="shared" si="9"/>
        <v/>
      </c>
      <c r="M111" s="20"/>
      <c r="N111" s="19"/>
      <c r="O111" s="26"/>
      <c r="P111" s="24" t="str">
        <f t="shared" si="10"/>
        <v/>
      </c>
      <c r="Q111" s="18" t="str">
        <f t="shared" ca="1" si="11"/>
        <v/>
      </c>
    </row>
    <row r="112" spans="2:17" ht="16.5" customHeight="1" x14ac:dyDescent="0.25">
      <c r="B112" s="18" t="str">
        <f>IF($C112="","",COUNT($C$14:$C112))</f>
        <v/>
      </c>
      <c r="C112" s="19"/>
      <c r="D112" s="20"/>
      <c r="E112" s="20"/>
      <c r="F112" s="20"/>
      <c r="G112" s="20"/>
      <c r="H112" s="21"/>
      <c r="I112" s="22"/>
      <c r="J112" s="23"/>
      <c r="K112" s="24" t="str">
        <f t="shared" si="8"/>
        <v/>
      </c>
      <c r="L112" s="25" t="str">
        <f t="shared" si="9"/>
        <v/>
      </c>
      <c r="M112" s="20"/>
      <c r="N112" s="19"/>
      <c r="O112" s="26"/>
      <c r="P112" s="24" t="str">
        <f t="shared" si="10"/>
        <v/>
      </c>
      <c r="Q112" s="18" t="str">
        <f t="shared" ca="1" si="11"/>
        <v/>
      </c>
    </row>
    <row r="113" spans="2:17" ht="16.5" customHeight="1" x14ac:dyDescent="0.25">
      <c r="B113" s="18" t="str">
        <f>IF($C113="","",COUNT($C$14:$C113))</f>
        <v/>
      </c>
      <c r="C113" s="19"/>
      <c r="D113" s="20"/>
      <c r="E113" s="20"/>
      <c r="F113" s="20"/>
      <c r="G113" s="20"/>
      <c r="H113" s="21"/>
      <c r="I113" s="22"/>
      <c r="J113" s="23"/>
      <c r="K113" s="24" t="str">
        <f t="shared" si="8"/>
        <v/>
      </c>
      <c r="L113" s="25" t="str">
        <f t="shared" si="9"/>
        <v/>
      </c>
      <c r="M113" s="20"/>
      <c r="N113" s="19"/>
      <c r="O113" s="26"/>
      <c r="P113" s="24" t="str">
        <f t="shared" si="10"/>
        <v/>
      </c>
      <c r="Q113" s="18" t="str">
        <f t="shared" ca="1" si="11"/>
        <v/>
      </c>
    </row>
    <row r="114" spans="2:17" ht="19.5" customHeight="1" x14ac:dyDescent="0.25">
      <c r="B114" s="4" t="s">
        <v>135</v>
      </c>
      <c r="C114" s="4"/>
      <c r="D114" s="4"/>
      <c r="E114" s="4"/>
      <c r="F114" s="4"/>
      <c r="G114" s="4"/>
      <c r="H114" s="4"/>
      <c r="I114" s="27">
        <f>SUM(I14:I113)</f>
        <v>44922.600000000006</v>
      </c>
      <c r="J114" s="28"/>
      <c r="K114" s="27">
        <f>SUM(K14:K113)</f>
        <v>7617.36</v>
      </c>
      <c r="L114" s="27">
        <f>SUM(L14:L113)</f>
        <v>52539.96</v>
      </c>
      <c r="M114" s="28"/>
      <c r="N114" s="28"/>
      <c r="O114" s="27">
        <f>SUM(O14:O113)</f>
        <v>41473.759999999995</v>
      </c>
      <c r="P114" s="27">
        <f>SUM(P14:P113)</f>
        <v>11066.199999999999</v>
      </c>
      <c r="Q114" s="28"/>
    </row>
    <row r="116" spans="2:17" ht="18.75" customHeight="1" x14ac:dyDescent="0.25">
      <c r="B116" s="12" t="s">
        <v>136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2:17" ht="15" customHeight="1" x14ac:dyDescent="0.25">
      <c r="B117" s="3" t="s">
        <v>137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ht="15" customHeight="1" x14ac:dyDescent="0.25">
      <c r="B118" s="3" t="s">
        <v>138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ht="15" customHeight="1" x14ac:dyDescent="0.25">
      <c r="B119" s="3" t="s">
        <v>139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ht="15" customHeight="1" x14ac:dyDescent="0.25">
      <c r="B120" s="3" t="s">
        <v>140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ht="15" customHeight="1" x14ac:dyDescent="0.25">
      <c r="B121" s="3" t="s">
        <v>141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ht="15" customHeight="1" x14ac:dyDescent="0.25">
      <c r="B122" s="3" t="s">
        <v>142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</sheetData>
  <autoFilter ref="B13:Q113" xr:uid="{00000000-0009-0000-0000-000000000000}"/>
  <mergeCells count="40">
    <mergeCell ref="B120:Q120"/>
    <mergeCell ref="B121:Q121"/>
    <mergeCell ref="B122:Q122"/>
    <mergeCell ref="B114:H114"/>
    <mergeCell ref="B116:Q116"/>
    <mergeCell ref="B117:Q117"/>
    <mergeCell ref="B118:Q118"/>
    <mergeCell ref="B119:Q119"/>
    <mergeCell ref="I10:K10"/>
    <mergeCell ref="L10:N10"/>
    <mergeCell ref="O10:Q10"/>
    <mergeCell ref="B11:C11"/>
    <mergeCell ref="D11:E11"/>
    <mergeCell ref="G11:H11"/>
    <mergeCell ref="I11:K11"/>
    <mergeCell ref="L11:N11"/>
    <mergeCell ref="O11:Q11"/>
    <mergeCell ref="B9:C9"/>
    <mergeCell ref="D9:E9"/>
    <mergeCell ref="G9:H9"/>
    <mergeCell ref="B10:C10"/>
    <mergeCell ref="D10:E10"/>
    <mergeCell ref="G10:H10"/>
    <mergeCell ref="O7:Q7"/>
    <mergeCell ref="B8:C8"/>
    <mergeCell ref="D8:E8"/>
    <mergeCell ref="G8:H8"/>
    <mergeCell ref="I8:K8"/>
    <mergeCell ref="L8:N8"/>
    <mergeCell ref="O8:Q8"/>
    <mergeCell ref="B7:C7"/>
    <mergeCell ref="D7:E7"/>
    <mergeCell ref="G7:H7"/>
    <mergeCell ref="I7:K7"/>
    <mergeCell ref="L7:N7"/>
    <mergeCell ref="B2:J3"/>
    <mergeCell ref="K2:Q3"/>
    <mergeCell ref="B6:E6"/>
    <mergeCell ref="F6:H6"/>
    <mergeCell ref="I6:Q6"/>
  </mergeCells>
  <conditionalFormatting sqref="B14:Q113">
    <cfRule type="expression" dxfId="6" priority="2">
      <formula>$Q14="Überfällig"</formula>
    </cfRule>
  </conditionalFormatting>
  <conditionalFormatting sqref="H14:H113">
    <cfRule type="expression" dxfId="5" priority="6">
      <formula>$H14="Ausgabe"</formula>
    </cfRule>
    <cfRule type="expression" dxfId="4" priority="7">
      <formula>$H14="Einnahme"</formula>
    </cfRule>
  </conditionalFormatting>
  <conditionalFormatting sqref="L14:L113">
    <cfRule type="dataBar" priority="8">
      <dataBar>
        <cfvo type="num" val="0"/>
        <cfvo type="max"/>
        <color rgb="FF5B7695"/>
      </dataBar>
      <extLst>
        <ext xmlns:x14="http://schemas.microsoft.com/office/spreadsheetml/2009/9/main" uri="{B025F937-C7B1-47D3-B67F-A62EFF666E3E}">
          <x14:id>{B096B83B-A18B-4FE9-A210-1058DF2BC350}</x14:id>
        </ext>
      </extLst>
    </cfRule>
  </conditionalFormatting>
  <conditionalFormatting sqref="Q14:Q113">
    <cfRule type="expression" dxfId="3" priority="3">
      <formula>$Q14="Bezahlt"</formula>
    </cfRule>
    <cfRule type="expression" dxfId="2" priority="4">
      <formula>OR($Q14="Offen",$Q14="Teilzahlung")</formula>
    </cfRule>
    <cfRule type="expression" dxfId="1" priority="5">
      <formula>$Q14="Überfällig"</formula>
    </cfRule>
  </conditionalFormatting>
  <dataValidations count="6">
    <dataValidation type="list" allowBlank="1" errorTitle="Ungültige Kategorie" error="Bitte einen Eintrag aus der Liste im Blatt „Listen“ wählen." sqref="G14:G113" xr:uid="{00000000-0002-0000-0000-000000000000}">
      <formula1>Kategorien</formula1>
      <formula2>0</formula2>
    </dataValidation>
    <dataValidation type="list" allowBlank="1" errorTitle="Ungültiger Typ" error="Zulässig sind „Einnahme“ und „Ausgabe“." sqref="H14:H113" xr:uid="{00000000-0002-0000-0000-000001000000}">
      <formula1>Buchungsarten</formula1>
      <formula2>0</formula2>
    </dataValidation>
    <dataValidation type="list" allowBlank="1" errorTitle="Ungültiger Steuersatz" error="Zulässig sind 0 %, 7 % und 19 %." sqref="J14:J113" xr:uid="{00000000-0002-0000-0000-000002000000}">
      <formula1>Steuersaetze</formula1>
      <formula2>0</formula2>
    </dataValidation>
    <dataValidation type="list" allowBlank="1" errorTitle="Ungültige Zahlungsart" error="Bitte einen Eintrag aus der Liste wählen." sqref="M14:M113" xr:uid="{00000000-0002-0000-0000-000003000000}">
      <formula1>Zahlungsarten</formula1>
      <formula2>0</formula2>
    </dataValidation>
    <dataValidation type="decimal" allowBlank="1" errorTitle="Ungültiger Betrag" error="Bitte einen Betrag als Zahl erfassen (Gutschriften negativ)." sqref="I14:I113 O14:O113" xr:uid="{00000000-0002-0000-0000-000004000000}">
      <formula1>-1000000</formula1>
      <formula2>1000000</formula2>
    </dataValidation>
    <dataValidation type="date" allowBlank="1" errorTitle="Ungültiges Datum" error="Bitte ein gültiges Datum im Format TT.MM.JJJJ erfassen." sqref="C14:C113 N14:N113" xr:uid="{00000000-0002-0000-0000-000005000000}">
      <formula1>DATE(2000,1,1)</formula1>
      <formula2>DATE(2099,12,31)</formula2>
    </dataValidation>
  </dataValidations>
  <pageMargins left="0.75" right="0.75" top="1" bottom="1" header="0.511811023622047" footer="0.511811023622047"/>
  <pageSetup paperSize="9" fitToHeight="0" orientation="landscape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96B83B-A18B-4FE9-A210-1058DF2BC350}">
            <x14:dataBar axisPosition="none">
              <x14:cfvo type="num">
                <xm:f>0</xm:f>
              </x14:cfvo>
              <x14:cfvo type="max"/>
              <x14:negativeFillColor rgb="FF5B7695"/>
            </x14:dataBar>
          </x14:cfRule>
          <xm:sqref>L14:L113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5813C"/>
    <pageSetUpPr fitToPage="1"/>
  </sheetPr>
  <dimension ref="B1:M4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26" customWidth="1"/>
    <col min="3" max="5" width="15" customWidth="1"/>
    <col min="6" max="6" width="13" customWidth="1"/>
    <col min="7" max="7" width="2.42578125" customWidth="1"/>
    <col min="8" max="8" width="24" customWidth="1"/>
    <col min="9" max="12" width="15" customWidth="1"/>
    <col min="13" max="13" width="13" customWidth="1"/>
    <col min="14" max="14" width="2.140625" customWidth="1"/>
  </cols>
  <sheetData>
    <row r="1" spans="2:13" ht="6" customHeight="1" x14ac:dyDescent="0.25"/>
    <row r="2" spans="2:13" ht="25.5" customHeight="1" x14ac:dyDescent="0.25">
      <c r="B2" s="14" t="s">
        <v>143</v>
      </c>
      <c r="C2" s="14"/>
      <c r="D2" s="14"/>
      <c r="E2" s="14"/>
      <c r="F2" s="14"/>
      <c r="G2" s="14"/>
      <c r="H2" s="13" t="str">
        <f ca="1">" Zeitraum "&amp;RIGHT("0"&amp;DAY(Abrechnung!$G$8),2)&amp;"."&amp;RIGHT("0"&amp;MONTH(Abrechnung!$G$8),2)&amp;"."&amp;YEAR(Abrechnung!$G$8)&amp;" – "&amp;RIGHT("0"&amp;DAY(Abrechnung!$G$9),2)&amp;"."&amp;RIGHT("0"&amp;MONTH(Abrechnung!$G$9),2)&amp;"."&amp;YEAR(Abrechnung!$G$9)&amp;"   ·   Stand "&amp;RIGHT("0"&amp;DAY(TODAY()),2)&amp;"."&amp;RIGHT("0"&amp;MONTH(TODAY()),2)&amp;"."&amp;YEAR(TODAY())</f>
        <v xml:space="preserve"> Zeitraum 01.01.2026 – 31.12.2026   ·   Stand 21.08.2026</v>
      </c>
      <c r="I2" s="13"/>
      <c r="J2" s="13"/>
      <c r="K2" s="13"/>
      <c r="L2" s="13"/>
      <c r="M2" s="13"/>
    </row>
    <row r="3" spans="2:13" ht="15.75" customHeight="1" x14ac:dyDescent="0.25">
      <c r="B3" s="14"/>
      <c r="C3" s="14"/>
      <c r="D3" s="14"/>
      <c r="E3" s="14"/>
      <c r="F3" s="14"/>
      <c r="G3" s="14"/>
      <c r="H3" s="13"/>
      <c r="I3" s="13"/>
      <c r="J3" s="13"/>
      <c r="K3" s="13"/>
      <c r="L3" s="13"/>
      <c r="M3" s="13"/>
    </row>
    <row r="4" spans="2:13" ht="4.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6" spans="2:13" ht="18.75" customHeight="1" x14ac:dyDescent="0.25">
      <c r="B6" s="12" t="s">
        <v>144</v>
      </c>
      <c r="C6" s="12"/>
      <c r="D6" s="12"/>
      <c r="E6" s="12"/>
      <c r="F6" s="12"/>
      <c r="H6" s="12" t="s">
        <v>145</v>
      </c>
      <c r="I6" s="12"/>
      <c r="J6" s="12"/>
      <c r="K6" s="12"/>
      <c r="L6" s="12"/>
      <c r="M6" s="12"/>
    </row>
    <row r="7" spans="2:13" ht="24" customHeight="1" x14ac:dyDescent="0.25">
      <c r="B7" s="29" t="s">
        <v>146</v>
      </c>
      <c r="C7" s="30" t="s">
        <v>147</v>
      </c>
      <c r="D7" s="30" t="s">
        <v>148</v>
      </c>
      <c r="E7" s="30" t="s">
        <v>149</v>
      </c>
      <c r="F7" s="30" t="s">
        <v>150</v>
      </c>
      <c r="H7" s="29" t="s">
        <v>36</v>
      </c>
      <c r="I7" s="30" t="s">
        <v>151</v>
      </c>
      <c r="J7" s="30" t="s">
        <v>152</v>
      </c>
      <c r="K7" s="30" t="s">
        <v>153</v>
      </c>
      <c r="L7" s="30" t="s">
        <v>154</v>
      </c>
      <c r="M7" s="30" t="s">
        <v>155</v>
      </c>
    </row>
    <row r="8" spans="2:13" ht="16.5" customHeight="1" x14ac:dyDescent="0.25">
      <c r="B8" s="31" t="s">
        <v>156</v>
      </c>
      <c r="C8" s="32">
        <f>SUMIFS(Abrechnung!$I$14:$I$113,Abrechnung!$H$14:$H$113,"Einnahme",Abrechnung!$C$14:$C$113,"&gt;="&amp;DATE(YEAR(Abrechnung!$G$8),1,1),Abrechnung!$C$14:$C$113,"&lt;="&amp;EOMONTH(DATE(YEAR(Abrechnung!$G$8),1,1),0))</f>
        <v>5580</v>
      </c>
      <c r="D8" s="32">
        <f>SUMIFS(Abrechnung!$I$14:$I$113,Abrechnung!$H$14:$H$113,"Ausgabe",Abrechnung!$C$14:$C$113,"&gt;="&amp;DATE(YEAR(Abrechnung!$G$8),1,1),Abrechnung!$C$14:$C$113,"&lt;="&amp;EOMONTH(DATE(YEAR(Abrechnung!$G$8),1,1),0))</f>
        <v>1990</v>
      </c>
      <c r="E8" s="33">
        <f t="shared" ref="E8:E19" si="0">C8-D8</f>
        <v>3590</v>
      </c>
      <c r="F8" s="34">
        <f t="shared" ref="F8:F19" si="1">IFERROR(C8/$C$20,0)</f>
        <v>0.17605300520586845</v>
      </c>
      <c r="H8" s="35">
        <v>0</v>
      </c>
      <c r="I8" s="32">
        <f>SUMIFS(Abrechnung!$I$14:$I$113,Abrechnung!$J$14:$J$113,$H8,Abrechnung!$H$14:$H$113,"Einnahme")</f>
        <v>315</v>
      </c>
      <c r="J8" s="32">
        <f>SUMIFS(Abrechnung!$K$14:$K$113,Abrechnung!$J$14:$J$113,$H8,Abrechnung!$H$14:$H$113,"Einnahme")</f>
        <v>0</v>
      </c>
      <c r="K8" s="32">
        <f>SUMIFS(Abrechnung!$I$14:$I$113,Abrechnung!$J$14:$J$113,$H8,Abrechnung!$H$14:$H$113,"Ausgabe")</f>
        <v>4284.8</v>
      </c>
      <c r="L8" s="32">
        <f>SUMIFS(Abrechnung!$K$14:$K$113,Abrechnung!$J$14:$J$113,$H8,Abrechnung!$H$14:$H$113,"Ausgabe")</f>
        <v>0</v>
      </c>
      <c r="M8" s="33">
        <f>J8-L8</f>
        <v>0</v>
      </c>
    </row>
    <row r="9" spans="2:13" ht="16.5" customHeight="1" x14ac:dyDescent="0.25">
      <c r="B9" s="36" t="s">
        <v>157</v>
      </c>
      <c r="C9" s="37">
        <f>SUMIFS(Abrechnung!$I$14:$I$113,Abrechnung!$H$14:$H$113,"Einnahme",Abrechnung!$C$14:$C$113,"&gt;="&amp;DATE(YEAR(Abrechnung!$G$8),2,1),Abrechnung!$C$14:$C$113,"&lt;="&amp;EOMONTH(DATE(YEAR(Abrechnung!$G$8),2,1),0))</f>
        <v>950</v>
      </c>
      <c r="D9" s="37">
        <f>SUMIFS(Abrechnung!$I$14:$I$113,Abrechnung!$H$14:$H$113,"Ausgabe",Abrechnung!$C$14:$C$113,"&gt;="&amp;DATE(YEAR(Abrechnung!$G$8),2,1),Abrechnung!$C$14:$C$113,"&lt;="&amp;EOMONTH(DATE(YEAR(Abrechnung!$G$8),2,1),0))</f>
        <v>4568</v>
      </c>
      <c r="E9" s="38">
        <f t="shared" si="0"/>
        <v>-3618</v>
      </c>
      <c r="F9" s="39">
        <f t="shared" si="1"/>
        <v>2.9973181889887995E-2</v>
      </c>
      <c r="H9" s="40">
        <v>7.0000000000000007E-2</v>
      </c>
      <c r="I9" s="37">
        <f>SUMIFS(Abrechnung!$I$14:$I$113,Abrechnung!$J$14:$J$113,$H9,Abrechnung!$H$14:$H$113,"Einnahme")</f>
        <v>0</v>
      </c>
      <c r="J9" s="37">
        <f>SUMIFS(Abrechnung!$K$14:$K$113,Abrechnung!$J$14:$J$113,$H9,Abrechnung!$H$14:$H$113,"Einnahme")</f>
        <v>0</v>
      </c>
      <c r="K9" s="37">
        <f>SUMIFS(Abrechnung!$I$14:$I$113,Abrechnung!$J$14:$J$113,$H9,Abrechnung!$H$14:$H$113,"Ausgabe")</f>
        <v>366.5</v>
      </c>
      <c r="L9" s="37">
        <f>SUMIFS(Abrechnung!$K$14:$K$113,Abrechnung!$J$14:$J$113,$H9,Abrechnung!$H$14:$H$113,"Ausgabe")</f>
        <v>25.66</v>
      </c>
      <c r="M9" s="38">
        <f>J9-L9</f>
        <v>-25.66</v>
      </c>
    </row>
    <row r="10" spans="2:13" ht="16.5" customHeight="1" x14ac:dyDescent="0.25">
      <c r="B10" s="31" t="s">
        <v>158</v>
      </c>
      <c r="C10" s="32">
        <f>SUMIFS(Abrechnung!$I$14:$I$113,Abrechnung!$H$14:$H$113,"Einnahme",Abrechnung!$C$14:$C$113,"&gt;="&amp;DATE(YEAR(Abrechnung!$G$8),3,1),Abrechnung!$C$14:$C$113,"&lt;="&amp;EOMONTH(DATE(YEAR(Abrechnung!$G$8),3,1),0))</f>
        <v>7390</v>
      </c>
      <c r="D10" s="32">
        <f>SUMIFS(Abrechnung!$I$14:$I$113,Abrechnung!$H$14:$H$113,"Ausgabe",Abrechnung!$C$14:$C$113,"&gt;="&amp;DATE(YEAR(Abrechnung!$G$8),3,1),Abrechnung!$C$14:$C$113,"&lt;="&amp;EOMONTH(DATE(YEAR(Abrechnung!$G$8),3,1),0))</f>
        <v>906.4</v>
      </c>
      <c r="E10" s="33">
        <f t="shared" si="0"/>
        <v>6483.6</v>
      </c>
      <c r="F10" s="34">
        <f t="shared" si="1"/>
        <v>0.23315980438554978</v>
      </c>
      <c r="H10" s="35">
        <v>0.19</v>
      </c>
      <c r="I10" s="32">
        <f>SUMIFS(Abrechnung!$I$14:$I$113,Abrechnung!$J$14:$J$113,$H10,Abrechnung!$H$14:$H$113,"Einnahme")</f>
        <v>31380</v>
      </c>
      <c r="J10" s="32">
        <f>SUMIFS(Abrechnung!$K$14:$K$113,Abrechnung!$J$14:$J$113,$H10,Abrechnung!$H$14:$H$113,"Einnahme")</f>
        <v>5962.2</v>
      </c>
      <c r="K10" s="32">
        <f>SUMIFS(Abrechnung!$I$14:$I$113,Abrechnung!$J$14:$J$113,$H10,Abrechnung!$H$14:$H$113,"Ausgabe")</f>
        <v>8576.2999999999993</v>
      </c>
      <c r="L10" s="32">
        <f>SUMIFS(Abrechnung!$K$14:$K$113,Abrechnung!$J$14:$J$113,$H10,Abrechnung!$H$14:$H$113,"Ausgabe")</f>
        <v>1629.5</v>
      </c>
      <c r="M10" s="33">
        <f>J10-L10</f>
        <v>4332.7</v>
      </c>
    </row>
    <row r="11" spans="2:13" ht="19.5" customHeight="1" x14ac:dyDescent="0.25">
      <c r="B11" s="36" t="s">
        <v>159</v>
      </c>
      <c r="C11" s="37">
        <f>SUMIFS(Abrechnung!$I$14:$I$113,Abrechnung!$H$14:$H$113,"Einnahme",Abrechnung!$C$14:$C$113,"&gt;="&amp;DATE(YEAR(Abrechnung!$G$8),4,1),Abrechnung!$C$14:$C$113,"&lt;="&amp;EOMONTH(DATE(YEAR(Abrechnung!$G$8),4,1),0))</f>
        <v>1800</v>
      </c>
      <c r="D11" s="37">
        <f>SUMIFS(Abrechnung!$I$14:$I$113,Abrechnung!$H$14:$H$113,"Ausgabe",Abrechnung!$C$14:$C$113,"&gt;="&amp;DATE(YEAR(Abrechnung!$G$8),4,1),Abrechnung!$C$14:$C$113,"&lt;="&amp;EOMONTH(DATE(YEAR(Abrechnung!$G$8),4,1),0))</f>
        <v>796.9</v>
      </c>
      <c r="E11" s="38">
        <f t="shared" si="0"/>
        <v>1003.1</v>
      </c>
      <c r="F11" s="39">
        <f t="shared" si="1"/>
        <v>5.6791292001893041E-2</v>
      </c>
      <c r="H11" s="41" t="s">
        <v>160</v>
      </c>
      <c r="I11" s="42">
        <f>SUM(I8:I10)</f>
        <v>31695</v>
      </c>
      <c r="J11" s="42">
        <f>SUM(J8:J10)</f>
        <v>5962.2</v>
      </c>
      <c r="K11" s="42">
        <f>SUM(K8:K10)</f>
        <v>13227.599999999999</v>
      </c>
      <c r="L11" s="42">
        <f>SUM(L8:L10)</f>
        <v>1655.16</v>
      </c>
      <c r="M11" s="42">
        <f>SUM(M8:M10)</f>
        <v>4307.04</v>
      </c>
    </row>
    <row r="12" spans="2:13" ht="16.5" customHeight="1" x14ac:dyDescent="0.25">
      <c r="B12" s="31" t="s">
        <v>161</v>
      </c>
      <c r="C12" s="32">
        <f>SUMIFS(Abrechnung!$I$14:$I$113,Abrechnung!$H$14:$H$113,"Einnahme",Abrechnung!$C$14:$C$113,"&gt;="&amp;DATE(YEAR(Abrechnung!$G$8),5,1),Abrechnung!$C$14:$C$113,"&lt;="&amp;EOMONTH(DATE(YEAR(Abrechnung!$G$8),5,1),0))</f>
        <v>5240</v>
      </c>
      <c r="D12" s="32">
        <f>SUMIFS(Abrechnung!$I$14:$I$113,Abrechnung!$H$14:$H$113,"Ausgabe",Abrechnung!$C$14:$C$113,"&gt;="&amp;DATE(YEAR(Abrechnung!$G$8),5,1),Abrechnung!$C$14:$C$113,"&lt;="&amp;EOMONTH(DATE(YEAR(Abrechnung!$G$8),5,1),0))</f>
        <v>1588.5</v>
      </c>
      <c r="E12" s="33">
        <f t="shared" si="0"/>
        <v>3651.5</v>
      </c>
      <c r="F12" s="34">
        <f t="shared" si="1"/>
        <v>0.16532576116106643</v>
      </c>
      <c r="H12" s="2" t="s">
        <v>162</v>
      </c>
      <c r="I12" s="2"/>
      <c r="J12" s="2"/>
      <c r="K12" s="2"/>
      <c r="L12" s="2"/>
      <c r="M12" s="2"/>
    </row>
    <row r="13" spans="2:13" ht="16.5" customHeight="1" x14ac:dyDescent="0.25">
      <c r="B13" s="36" t="s">
        <v>163</v>
      </c>
      <c r="C13" s="37">
        <f>SUMIFS(Abrechnung!$I$14:$I$113,Abrechnung!$H$14:$H$113,"Einnahme",Abrechnung!$C$14:$C$113,"&gt;="&amp;DATE(YEAR(Abrechnung!$G$8),6,1),Abrechnung!$C$14:$C$113,"&lt;="&amp;EOMONTH(DATE(YEAR(Abrechnung!$G$8),6,1),0))</f>
        <v>4215</v>
      </c>
      <c r="D13" s="37">
        <f>SUMIFS(Abrechnung!$I$14:$I$113,Abrechnung!$H$14:$H$113,"Ausgabe",Abrechnung!$C$14:$C$113,"&gt;="&amp;DATE(YEAR(Abrechnung!$G$8),6,1),Abrechnung!$C$14:$C$113,"&lt;="&amp;EOMONTH(DATE(YEAR(Abrechnung!$G$8),6,1),0))</f>
        <v>2380</v>
      </c>
      <c r="E13" s="38">
        <f t="shared" si="0"/>
        <v>1835</v>
      </c>
      <c r="F13" s="39">
        <f t="shared" si="1"/>
        <v>0.1329862754377662</v>
      </c>
    </row>
    <row r="14" spans="2:13" ht="18.75" customHeight="1" x14ac:dyDescent="0.25">
      <c r="B14" s="31" t="s">
        <v>164</v>
      </c>
      <c r="C14" s="32">
        <f>SUMIFS(Abrechnung!$I$14:$I$113,Abrechnung!$H$14:$H$113,"Einnahme",Abrechnung!$C$14:$C$113,"&gt;="&amp;DATE(YEAR(Abrechnung!$G$8),7,1),Abrechnung!$C$14:$C$113,"&lt;="&amp;EOMONTH(DATE(YEAR(Abrechnung!$G$8),7,1),0))</f>
        <v>2400</v>
      </c>
      <c r="D14" s="32">
        <f>SUMIFS(Abrechnung!$I$14:$I$113,Abrechnung!$H$14:$H$113,"Ausgabe",Abrechnung!$C$14:$C$113,"&gt;="&amp;DATE(YEAR(Abrechnung!$G$8),7,1),Abrechnung!$C$14:$C$113,"&lt;="&amp;EOMONTH(DATE(YEAR(Abrechnung!$G$8),7,1),0))</f>
        <v>437.8</v>
      </c>
      <c r="E14" s="33">
        <f t="shared" si="0"/>
        <v>1962.2</v>
      </c>
      <c r="F14" s="34">
        <f t="shared" si="1"/>
        <v>7.5721722669190722E-2</v>
      </c>
      <c r="H14" s="12" t="s">
        <v>165</v>
      </c>
      <c r="I14" s="12"/>
      <c r="J14" s="12"/>
      <c r="K14" s="12"/>
      <c r="L14" s="12"/>
      <c r="M14" s="12"/>
    </row>
    <row r="15" spans="2:13" ht="24" customHeight="1" x14ac:dyDescent="0.25">
      <c r="B15" s="36" t="s">
        <v>166</v>
      </c>
      <c r="C15" s="37">
        <f>SUMIFS(Abrechnung!$I$14:$I$113,Abrechnung!$H$14:$H$113,"Einnahme",Abrechnung!$C$14:$C$113,"&gt;="&amp;DATE(YEAR(Abrechnung!$G$8),8,1),Abrechnung!$C$14:$C$113,"&lt;="&amp;EOMONTH(DATE(YEAR(Abrechnung!$G$8),8,1),0))</f>
        <v>4120</v>
      </c>
      <c r="D15" s="37">
        <f>SUMIFS(Abrechnung!$I$14:$I$113,Abrechnung!$H$14:$H$113,"Ausgabe",Abrechnung!$C$14:$C$113,"&gt;="&amp;DATE(YEAR(Abrechnung!$G$8),8,1),Abrechnung!$C$14:$C$113,"&lt;="&amp;EOMONTH(DATE(YEAR(Abrechnung!$G$8),8,1),0))</f>
        <v>560</v>
      </c>
      <c r="E15" s="38">
        <f t="shared" si="0"/>
        <v>3560</v>
      </c>
      <c r="F15" s="39">
        <f t="shared" si="1"/>
        <v>0.1299889572487774</v>
      </c>
      <c r="H15" s="29" t="s">
        <v>167</v>
      </c>
      <c r="I15" s="30" t="s">
        <v>168</v>
      </c>
      <c r="J15" s="30" t="s">
        <v>169</v>
      </c>
      <c r="K15" s="30" t="s">
        <v>170</v>
      </c>
      <c r="L15" s="30" t="s">
        <v>171</v>
      </c>
      <c r="M15" s="30" t="s">
        <v>172</v>
      </c>
    </row>
    <row r="16" spans="2:13" ht="16.5" customHeight="1" x14ac:dyDescent="0.25">
      <c r="B16" s="31" t="s">
        <v>173</v>
      </c>
      <c r="C16" s="32">
        <f>SUMIFS(Abrechnung!$I$14:$I$113,Abrechnung!$H$14:$H$113,"Einnahme",Abrechnung!$C$14:$C$113,"&gt;="&amp;DATE(YEAR(Abrechnung!$G$8),9,1),Abrechnung!$C$14:$C$113,"&lt;="&amp;EOMONTH(DATE(YEAR(Abrechnung!$G$8),9,1),0))</f>
        <v>0</v>
      </c>
      <c r="D16" s="32">
        <f>SUMIFS(Abrechnung!$I$14:$I$113,Abrechnung!$H$14:$H$113,"Ausgabe",Abrechnung!$C$14:$C$113,"&gt;="&amp;DATE(YEAR(Abrechnung!$G$8),9,1),Abrechnung!$C$14:$C$113,"&lt;="&amp;EOMONTH(DATE(YEAR(Abrechnung!$G$8),9,1),0))</f>
        <v>0</v>
      </c>
      <c r="E16" s="33">
        <f t="shared" si="0"/>
        <v>0</v>
      </c>
      <c r="F16" s="34">
        <f t="shared" si="1"/>
        <v>0</v>
      </c>
      <c r="H16" s="31" t="s">
        <v>174</v>
      </c>
      <c r="I16" s="43">
        <f>COUNTIFS(Abrechnung!$H$14:$H$113,"Einnahme")</f>
        <v>11</v>
      </c>
      <c r="J16" s="32">
        <f>SUMIFS(Abrechnung!$L$14:$L$113,Abrechnung!$H$14:$H$113,"Einnahme")</f>
        <v>37657.200000000004</v>
      </c>
      <c r="K16" s="32">
        <f>SUMIFS(Abrechnung!$O$14:$O$113,Abrechnung!$H$14:$H$113,"Einnahme")</f>
        <v>27257.4</v>
      </c>
      <c r="L16" s="32">
        <f>SUMIFS(Abrechnung!$P$14:$P$113,Abrechnung!$H$14:$H$113,"Einnahme")</f>
        <v>10399.799999999999</v>
      </c>
      <c r="M16" s="44">
        <f>IFERROR(K16/J16,0)</f>
        <v>0.72382970587298046</v>
      </c>
    </row>
    <row r="17" spans="2:13" ht="16.5" customHeight="1" x14ac:dyDescent="0.25">
      <c r="B17" s="36" t="s">
        <v>175</v>
      </c>
      <c r="C17" s="37">
        <f>SUMIFS(Abrechnung!$I$14:$I$113,Abrechnung!$H$14:$H$113,"Einnahme",Abrechnung!$C$14:$C$113,"&gt;="&amp;DATE(YEAR(Abrechnung!$G$8),10,1),Abrechnung!$C$14:$C$113,"&lt;="&amp;EOMONTH(DATE(YEAR(Abrechnung!$G$8),10,1),0))</f>
        <v>0</v>
      </c>
      <c r="D17" s="37">
        <f>SUMIFS(Abrechnung!$I$14:$I$113,Abrechnung!$H$14:$H$113,"Ausgabe",Abrechnung!$C$14:$C$113,"&gt;="&amp;DATE(YEAR(Abrechnung!$G$8),10,1),Abrechnung!$C$14:$C$113,"&lt;="&amp;EOMONTH(DATE(YEAR(Abrechnung!$G$8),10,1),0))</f>
        <v>0</v>
      </c>
      <c r="E17" s="38">
        <f t="shared" si="0"/>
        <v>0</v>
      </c>
      <c r="F17" s="39">
        <f t="shared" si="1"/>
        <v>0</v>
      </c>
      <c r="H17" s="36" t="s">
        <v>176</v>
      </c>
      <c r="I17" s="45">
        <f>COUNTIFS(Abrechnung!$H$14:$H$113,"Ausgabe")</f>
        <v>15</v>
      </c>
      <c r="J17" s="37">
        <f>SUMIFS(Abrechnung!$L$14:$L$113,Abrechnung!$H$14:$H$113,"Ausgabe")</f>
        <v>14882.76</v>
      </c>
      <c r="K17" s="37">
        <f>SUMIFS(Abrechnung!$O$14:$O$113,Abrechnung!$H$14:$H$113,"Ausgabe")</f>
        <v>14216.36</v>
      </c>
      <c r="L17" s="37">
        <f>SUMIFS(Abrechnung!$P$14:$P$113,Abrechnung!$H$14:$H$113,"Ausgabe")</f>
        <v>666.4</v>
      </c>
      <c r="M17" s="46">
        <f>IFERROR(K17/J17,0)</f>
        <v>0.95522335910812239</v>
      </c>
    </row>
    <row r="18" spans="2:13" ht="16.5" customHeight="1" x14ac:dyDescent="0.25">
      <c r="B18" s="31" t="s">
        <v>177</v>
      </c>
      <c r="C18" s="32">
        <f>SUMIFS(Abrechnung!$I$14:$I$113,Abrechnung!$H$14:$H$113,"Einnahme",Abrechnung!$C$14:$C$113,"&gt;="&amp;DATE(YEAR(Abrechnung!$G$8),11,1),Abrechnung!$C$14:$C$113,"&lt;="&amp;EOMONTH(DATE(YEAR(Abrechnung!$G$8),11,1),0))</f>
        <v>0</v>
      </c>
      <c r="D18" s="32">
        <f>SUMIFS(Abrechnung!$I$14:$I$113,Abrechnung!$H$14:$H$113,"Ausgabe",Abrechnung!$C$14:$C$113,"&gt;="&amp;DATE(YEAR(Abrechnung!$G$8),11,1),Abrechnung!$C$14:$C$113,"&lt;="&amp;EOMONTH(DATE(YEAR(Abrechnung!$G$8),11,1),0))</f>
        <v>0</v>
      </c>
      <c r="E18" s="33">
        <f t="shared" si="0"/>
        <v>0</v>
      </c>
      <c r="F18" s="34">
        <f t="shared" si="1"/>
        <v>0</v>
      </c>
      <c r="H18" s="47" t="s">
        <v>178</v>
      </c>
      <c r="I18" s="48">
        <f ca="1">COUNTIFS(Abrechnung!$Q$14:$Q$113,"Überfällig")</f>
        <v>2</v>
      </c>
      <c r="J18" s="49">
        <f ca="1">SUMIFS(Abrechnung!$L$14:$L$113,Abrechnung!$Q$14:$Q$113,"Überfällig")</f>
        <v>7758.8</v>
      </c>
      <c r="K18" s="49">
        <f ca="1">SUMIFS(Abrechnung!$O$14:$O$113,Abrechnung!$Q$14:$Q$113,"Überfällig")</f>
        <v>0</v>
      </c>
      <c r="L18" s="49">
        <f ca="1">SUMIFS(Abrechnung!$P$14:$P$113,Abrechnung!$Q$14:$Q$113,"Überfällig")</f>
        <v>7758.8</v>
      </c>
      <c r="M18" s="50">
        <f ca="1">IFERROR(K18/J18,0)</f>
        <v>0</v>
      </c>
    </row>
    <row r="19" spans="2:13" ht="19.5" customHeight="1" x14ac:dyDescent="0.25">
      <c r="B19" s="36" t="s">
        <v>179</v>
      </c>
      <c r="C19" s="37">
        <f>SUMIFS(Abrechnung!$I$14:$I$113,Abrechnung!$H$14:$H$113,"Einnahme",Abrechnung!$C$14:$C$113,"&gt;="&amp;DATE(YEAR(Abrechnung!$G$8),12,1),Abrechnung!$C$14:$C$113,"&lt;="&amp;EOMONTH(DATE(YEAR(Abrechnung!$G$8),12,1),0))</f>
        <v>0</v>
      </c>
      <c r="D19" s="37">
        <f>SUMIFS(Abrechnung!$I$14:$I$113,Abrechnung!$H$14:$H$113,"Ausgabe",Abrechnung!$C$14:$C$113,"&gt;="&amp;DATE(YEAR(Abrechnung!$G$8),12,1),Abrechnung!$C$14:$C$113,"&lt;="&amp;EOMONTH(DATE(YEAR(Abrechnung!$G$8),12,1),0))</f>
        <v>0</v>
      </c>
      <c r="E19" s="38">
        <f t="shared" si="0"/>
        <v>0</v>
      </c>
      <c r="F19" s="39">
        <f t="shared" si="1"/>
        <v>0</v>
      </c>
      <c r="H19" s="41" t="s">
        <v>180</v>
      </c>
      <c r="I19" s="51">
        <f>COUNT(Abrechnung!$I$14:$I$113)</f>
        <v>26</v>
      </c>
      <c r="J19" s="42">
        <f>SUM(Abrechnung!$L$14:$L$113)</f>
        <v>52539.96</v>
      </c>
      <c r="K19" s="42">
        <f>SUM(Abrechnung!$O$14:$O$113)</f>
        <v>41473.759999999995</v>
      </c>
      <c r="L19" s="42">
        <f>SUM(Abrechnung!$P$14:$P$113)</f>
        <v>11066.199999999999</v>
      </c>
      <c r="M19" s="52">
        <f>IFERROR(K19/J19,0)</f>
        <v>0.78937555338831611</v>
      </c>
    </row>
    <row r="20" spans="2:13" ht="19.5" customHeight="1" x14ac:dyDescent="0.25">
      <c r="B20" s="41" t="s">
        <v>181</v>
      </c>
      <c r="C20" s="42">
        <f>SUM(C8:C19)</f>
        <v>31695</v>
      </c>
      <c r="D20" s="42">
        <f>SUM(D8:D19)</f>
        <v>13227.599999999999</v>
      </c>
      <c r="E20" s="42">
        <f>SUM(E8:E19)</f>
        <v>18467.400000000001</v>
      </c>
      <c r="F20" s="52">
        <f>IFERROR(C20/C20,0)</f>
        <v>1</v>
      </c>
    </row>
    <row r="22" spans="2:13" ht="18.75" customHeight="1" x14ac:dyDescent="0.25">
      <c r="B22" s="12" t="s">
        <v>182</v>
      </c>
      <c r="C22" s="12"/>
      <c r="D22" s="12"/>
      <c r="E22" s="12"/>
      <c r="F22" s="12"/>
    </row>
    <row r="23" spans="2:13" ht="24" customHeight="1" x14ac:dyDescent="0.25">
      <c r="B23" s="29" t="s">
        <v>33</v>
      </c>
      <c r="C23" s="30" t="s">
        <v>147</v>
      </c>
      <c r="D23" s="30" t="s">
        <v>148</v>
      </c>
      <c r="E23" s="30" t="s">
        <v>183</v>
      </c>
      <c r="F23" s="30" t="s">
        <v>184</v>
      </c>
    </row>
    <row r="24" spans="2:13" ht="16.5" customHeight="1" x14ac:dyDescent="0.25">
      <c r="B24" s="31" t="s">
        <v>59</v>
      </c>
      <c r="C24" s="32">
        <f>SUMIFS(Abrechnung!$I$14:$I$113,Abrechnung!$G$14:$G$113,$B24,Abrechnung!$H$14:$H$113,"Einnahme")</f>
        <v>15280</v>
      </c>
      <c r="D24" s="32">
        <f>SUMIFS(Abrechnung!$I$14:$I$113,Abrechnung!$G$14:$G$113,$B24,Abrechnung!$H$14:$H$113,"Ausgabe")</f>
        <v>0</v>
      </c>
      <c r="E24" s="33">
        <f t="shared" ref="E24:E39" si="2">C24-D24</f>
        <v>15280</v>
      </c>
      <c r="F24" s="34">
        <f t="shared" ref="F24:F39" si="3">IFERROR((C24+D24)/($C$40+$D$40),0)</f>
        <v>0.34014059738305441</v>
      </c>
    </row>
    <row r="25" spans="2:13" ht="16.5" customHeight="1" x14ac:dyDescent="0.25">
      <c r="B25" s="36" t="s">
        <v>47</v>
      </c>
      <c r="C25" s="37">
        <f>SUMIFS(Abrechnung!$I$14:$I$113,Abrechnung!$G$14:$G$113,$B25,Abrechnung!$H$14:$H$113,"Einnahme")</f>
        <v>16100</v>
      </c>
      <c r="D25" s="37">
        <f>SUMIFS(Abrechnung!$I$14:$I$113,Abrechnung!$G$14:$G$113,$B25,Abrechnung!$H$14:$H$113,"Ausgabe")</f>
        <v>0</v>
      </c>
      <c r="E25" s="38">
        <f t="shared" si="2"/>
        <v>16100</v>
      </c>
      <c r="F25" s="39">
        <f t="shared" si="3"/>
        <v>0.35839421582900366</v>
      </c>
    </row>
    <row r="26" spans="2:13" ht="16.5" customHeight="1" x14ac:dyDescent="0.25">
      <c r="B26" s="31" t="s">
        <v>117</v>
      </c>
      <c r="C26" s="32">
        <f>SUMIFS(Abrechnung!$I$14:$I$113,Abrechnung!$G$14:$G$113,$B26,Abrechnung!$H$14:$H$113,"Einnahme")</f>
        <v>315</v>
      </c>
      <c r="D26" s="32">
        <f>SUMIFS(Abrechnung!$I$14:$I$113,Abrechnung!$G$14:$G$113,$B26,Abrechnung!$H$14:$H$113,"Ausgabe")</f>
        <v>0</v>
      </c>
      <c r="E26" s="33">
        <f t="shared" si="2"/>
        <v>315</v>
      </c>
      <c r="F26" s="34">
        <f t="shared" si="3"/>
        <v>7.0120607444805064E-3</v>
      </c>
    </row>
    <row r="27" spans="2:13" ht="16.5" customHeight="1" x14ac:dyDescent="0.25">
      <c r="B27" s="36" t="s">
        <v>68</v>
      </c>
      <c r="C27" s="37">
        <f>SUMIFS(Abrechnung!$I$14:$I$113,Abrechnung!$G$14:$G$113,$B27,Abrechnung!$H$14:$H$113,"Einnahme")</f>
        <v>0</v>
      </c>
      <c r="D27" s="37">
        <f>SUMIFS(Abrechnung!$I$14:$I$113,Abrechnung!$G$14:$G$113,$B27,Abrechnung!$H$14:$H$113,"Ausgabe")</f>
        <v>4340</v>
      </c>
      <c r="E27" s="38">
        <f t="shared" si="2"/>
        <v>-4340</v>
      </c>
      <c r="F27" s="39">
        <f t="shared" si="3"/>
        <v>9.661061470173142E-2</v>
      </c>
    </row>
    <row r="28" spans="2:13" ht="16.5" customHeight="1" x14ac:dyDescent="0.25">
      <c r="B28" s="31" t="s">
        <v>74</v>
      </c>
      <c r="C28" s="32">
        <f>SUMIFS(Abrechnung!$I$14:$I$113,Abrechnung!$G$14:$G$113,$B28,Abrechnung!$H$14:$H$113,"Einnahme")</f>
        <v>0</v>
      </c>
      <c r="D28" s="32">
        <f>SUMIFS(Abrechnung!$I$14:$I$113,Abrechnung!$G$14:$G$113,$B28,Abrechnung!$H$14:$H$113,"Ausgabe")</f>
        <v>2480</v>
      </c>
      <c r="E28" s="33">
        <f t="shared" si="2"/>
        <v>-2480</v>
      </c>
      <c r="F28" s="34">
        <f t="shared" si="3"/>
        <v>5.5206065543846529E-2</v>
      </c>
    </row>
    <row r="29" spans="2:13" ht="16.5" customHeight="1" x14ac:dyDescent="0.25">
      <c r="B29" s="36" t="s">
        <v>53</v>
      </c>
      <c r="C29" s="37">
        <f>SUMIFS(Abrechnung!$I$14:$I$113,Abrechnung!$G$14:$G$113,$B29,Abrechnung!$H$14:$H$113,"Einnahme")</f>
        <v>0</v>
      </c>
      <c r="D29" s="37">
        <f>SUMIFS(Abrechnung!$I$14:$I$113,Abrechnung!$G$14:$G$113,$B29,Abrechnung!$H$14:$H$113,"Ausgabe")</f>
        <v>1710</v>
      </c>
      <c r="E29" s="38">
        <f t="shared" si="2"/>
        <v>-1710</v>
      </c>
      <c r="F29" s="39">
        <f t="shared" si="3"/>
        <v>3.8065472612894176E-2</v>
      </c>
    </row>
    <row r="30" spans="2:13" ht="16.5" customHeight="1" x14ac:dyDescent="0.25">
      <c r="B30" s="31" t="s">
        <v>86</v>
      </c>
      <c r="C30" s="32">
        <f>SUMIFS(Abrechnung!$I$14:$I$113,Abrechnung!$G$14:$G$113,$B30,Abrechnung!$H$14:$H$113,"Einnahme")</f>
        <v>0</v>
      </c>
      <c r="D30" s="32">
        <f>SUMIFS(Abrechnung!$I$14:$I$113,Abrechnung!$G$14:$G$113,$B30,Abrechnung!$H$14:$H$113,"Ausgabe")</f>
        <v>216.4</v>
      </c>
      <c r="E30" s="33">
        <f t="shared" si="2"/>
        <v>-216.4</v>
      </c>
      <c r="F30" s="34">
        <f t="shared" si="3"/>
        <v>4.8171744289066086E-3</v>
      </c>
    </row>
    <row r="31" spans="2:13" ht="16.5" customHeight="1" x14ac:dyDescent="0.25">
      <c r="B31" s="36" t="s">
        <v>114</v>
      </c>
      <c r="C31" s="37">
        <f>SUMIFS(Abrechnung!$I$14:$I$113,Abrechnung!$G$14:$G$113,$B31,Abrechnung!$H$14:$H$113,"Einnahme")</f>
        <v>0</v>
      </c>
      <c r="D31" s="37">
        <f>SUMIFS(Abrechnung!$I$14:$I$113,Abrechnung!$G$14:$G$113,$B31,Abrechnung!$H$14:$H$113,"Ausgabe")</f>
        <v>238.5</v>
      </c>
      <c r="E31" s="38">
        <f t="shared" si="2"/>
        <v>-238.5</v>
      </c>
      <c r="F31" s="39">
        <f t="shared" si="3"/>
        <v>5.3091317065352408E-3</v>
      </c>
    </row>
    <row r="32" spans="2:13" ht="16.5" customHeight="1" x14ac:dyDescent="0.25">
      <c r="B32" s="31" t="s">
        <v>102</v>
      </c>
      <c r="C32" s="32">
        <f>SUMIFS(Abrechnung!$I$14:$I$113,Abrechnung!$G$14:$G$113,$B32,Abrechnung!$H$14:$H$113,"Einnahme")</f>
        <v>0</v>
      </c>
      <c r="D32" s="32">
        <f>SUMIFS(Abrechnung!$I$14:$I$113,Abrechnung!$G$14:$G$113,$B32,Abrechnung!$H$14:$H$113,"Ausgabe")</f>
        <v>184.9</v>
      </c>
      <c r="E32" s="33">
        <f t="shared" si="2"/>
        <v>-184.9</v>
      </c>
      <c r="F32" s="34">
        <f t="shared" si="3"/>
        <v>4.1159683544585582E-3</v>
      </c>
    </row>
    <row r="33" spans="2:6" ht="16.5" customHeight="1" x14ac:dyDescent="0.25">
      <c r="B33" s="36" t="s">
        <v>63</v>
      </c>
      <c r="C33" s="37">
        <f>SUMIFS(Abrechnung!$I$14:$I$113,Abrechnung!$G$14:$G$113,$B33,Abrechnung!$H$14:$H$113,"Einnahme")</f>
        <v>0</v>
      </c>
      <c r="D33" s="37">
        <f>SUMIFS(Abrechnung!$I$14:$I$113,Abrechnung!$G$14:$G$113,$B33,Abrechnung!$H$14:$H$113,"Ausgabe")</f>
        <v>840</v>
      </c>
      <c r="E33" s="38">
        <f t="shared" si="2"/>
        <v>-840</v>
      </c>
      <c r="F33" s="39">
        <f t="shared" si="3"/>
        <v>1.8698828651948017E-2</v>
      </c>
    </row>
    <row r="34" spans="2:6" ht="16.5" customHeight="1" x14ac:dyDescent="0.25">
      <c r="B34" s="31" t="s">
        <v>90</v>
      </c>
      <c r="C34" s="32">
        <f>SUMIFS(Abrechnung!$I$14:$I$113,Abrechnung!$G$14:$G$113,$B34,Abrechnung!$H$14:$H$113,"Einnahme")</f>
        <v>0</v>
      </c>
      <c r="D34" s="32">
        <f>SUMIFS(Abrechnung!$I$14:$I$113,Abrechnung!$G$14:$G$113,$B34,Abrechnung!$H$14:$H$113,"Ausgabe")</f>
        <v>690</v>
      </c>
      <c r="E34" s="33">
        <f t="shared" si="2"/>
        <v>-690</v>
      </c>
      <c r="F34" s="34">
        <f t="shared" si="3"/>
        <v>1.53597521069573E-2</v>
      </c>
    </row>
    <row r="35" spans="2:6" ht="16.5" customHeight="1" x14ac:dyDescent="0.25">
      <c r="B35" s="36" t="s">
        <v>96</v>
      </c>
      <c r="C35" s="37">
        <f>SUMIFS(Abrechnung!$I$14:$I$113,Abrechnung!$G$14:$G$113,$B35,Abrechnung!$H$14:$H$113,"Einnahme")</f>
        <v>0</v>
      </c>
      <c r="D35" s="37">
        <f>SUMIFS(Abrechnung!$I$14:$I$113,Abrechnung!$G$14:$G$113,$B35,Abrechnung!$H$14:$H$113,"Ausgabe")</f>
        <v>612</v>
      </c>
      <c r="E35" s="38">
        <f t="shared" si="2"/>
        <v>-612</v>
      </c>
      <c r="F35" s="39">
        <f t="shared" si="3"/>
        <v>1.3623432303562128E-2</v>
      </c>
    </row>
    <row r="36" spans="2:6" ht="16.5" customHeight="1" x14ac:dyDescent="0.25">
      <c r="B36" s="31" t="s">
        <v>107</v>
      </c>
      <c r="C36" s="32">
        <f>SUMIFS(Abrechnung!$I$14:$I$113,Abrechnung!$G$14:$G$113,$B36,Abrechnung!$H$14:$H$113,"Einnahme")</f>
        <v>0</v>
      </c>
      <c r="D36" s="32">
        <f>SUMIFS(Abrechnung!$I$14:$I$113,Abrechnung!$G$14:$G$113,$B36,Abrechnung!$H$14:$H$113,"Ausgabe")</f>
        <v>1350</v>
      </c>
      <c r="E36" s="33">
        <f t="shared" si="2"/>
        <v>-1350</v>
      </c>
      <c r="F36" s="34">
        <f t="shared" si="3"/>
        <v>3.0051688904916458E-2</v>
      </c>
    </row>
    <row r="37" spans="2:6" ht="16.5" customHeight="1" x14ac:dyDescent="0.25">
      <c r="B37" s="36" t="s">
        <v>78</v>
      </c>
      <c r="C37" s="37">
        <f>SUMIFS(Abrechnung!$I$14:$I$113,Abrechnung!$G$14:$G$113,$B37,Abrechnung!$H$14:$H$113,"Einnahme")</f>
        <v>0</v>
      </c>
      <c r="D37" s="37">
        <f>SUMIFS(Abrechnung!$I$14:$I$113,Abrechnung!$G$14:$G$113,$B37,Abrechnung!$H$14:$H$113,"Ausgabe")</f>
        <v>523</v>
      </c>
      <c r="E37" s="38">
        <f t="shared" si="2"/>
        <v>-523</v>
      </c>
      <c r="F37" s="39">
        <f t="shared" si="3"/>
        <v>1.1642246886867635E-2</v>
      </c>
    </row>
    <row r="38" spans="2:6" ht="16.5" customHeight="1" x14ac:dyDescent="0.25">
      <c r="B38" s="31" t="s">
        <v>125</v>
      </c>
      <c r="C38" s="32">
        <f>SUMIFS(Abrechnung!$I$14:$I$113,Abrechnung!$G$14:$G$113,$B38,Abrechnung!$H$14:$H$113,"Einnahme")</f>
        <v>0</v>
      </c>
      <c r="D38" s="32">
        <f>SUMIFS(Abrechnung!$I$14:$I$113,Abrechnung!$G$14:$G$113,$B38,Abrechnung!$H$14:$H$113,"Ausgabe")</f>
        <v>42.8</v>
      </c>
      <c r="E38" s="33">
        <f t="shared" si="2"/>
        <v>-42.8</v>
      </c>
      <c r="F38" s="34">
        <f t="shared" si="3"/>
        <v>9.5274984083735137E-4</v>
      </c>
    </row>
    <row r="39" spans="2:6" ht="16.5" customHeight="1" x14ac:dyDescent="0.25">
      <c r="B39" s="36" t="s">
        <v>185</v>
      </c>
      <c r="C39" s="37">
        <f>SUMIFS(Abrechnung!$I$14:$I$113,Abrechnung!$G$14:$G$113,$B39,Abrechnung!$H$14:$H$113,"Einnahme")</f>
        <v>0</v>
      </c>
      <c r="D39" s="37">
        <f>SUMIFS(Abrechnung!$I$14:$I$113,Abrechnung!$G$14:$G$113,$B39,Abrechnung!$H$14:$H$113,"Ausgabe")</f>
        <v>0</v>
      </c>
      <c r="E39" s="38">
        <f t="shared" si="2"/>
        <v>0</v>
      </c>
      <c r="F39" s="39">
        <f t="shared" si="3"/>
        <v>0</v>
      </c>
    </row>
    <row r="40" spans="2:6" ht="19.5" customHeight="1" x14ac:dyDescent="0.25">
      <c r="B40" s="41" t="s">
        <v>160</v>
      </c>
      <c r="C40" s="42">
        <f>SUM(C24:C39)</f>
        <v>31695</v>
      </c>
      <c r="D40" s="42">
        <f>SUM(D24:D39)</f>
        <v>13227.599999999999</v>
      </c>
      <c r="E40" s="42">
        <f>SUM(E24:E39)</f>
        <v>18467.399999999998</v>
      </c>
      <c r="F40" s="52">
        <f>SUM(F24:F39)</f>
        <v>1</v>
      </c>
    </row>
    <row r="42" spans="2:6" ht="15" customHeight="1" x14ac:dyDescent="0.25">
      <c r="B42" s="1" t="s">
        <v>186</v>
      </c>
      <c r="C42" s="1"/>
      <c r="D42" s="1"/>
      <c r="E42" s="1"/>
      <c r="F42" s="1"/>
    </row>
    <row r="43" spans="2:6" x14ac:dyDescent="0.25">
      <c r="B43" s="1"/>
      <c r="C43" s="1"/>
      <c r="D43" s="1"/>
      <c r="E43" s="1"/>
      <c r="F43" s="1"/>
    </row>
    <row r="44" spans="2:6" x14ac:dyDescent="0.25">
      <c r="B44" s="1"/>
      <c r="C44" s="1"/>
      <c r="D44" s="1"/>
      <c r="E44" s="1"/>
      <c r="F44" s="1"/>
    </row>
  </sheetData>
  <mergeCells count="8">
    <mergeCell ref="H14:M14"/>
    <mergeCell ref="B22:F22"/>
    <mergeCell ref="B42:F44"/>
    <mergeCell ref="B2:G3"/>
    <mergeCell ref="H2:M3"/>
    <mergeCell ref="B6:F6"/>
    <mergeCell ref="H6:M6"/>
    <mergeCell ref="H12:M12"/>
  </mergeCells>
  <conditionalFormatting sqref="C24:C39">
    <cfRule type="dataBar" priority="4">
      <dataBar>
        <cfvo type="num" val="0"/>
        <cfvo type="max"/>
        <color rgb="FF5B7695"/>
      </dataBar>
      <extLst>
        <ext xmlns:x14="http://schemas.microsoft.com/office/spreadsheetml/2009/9/main" uri="{B025F937-C7B1-47D3-B67F-A62EFF666E3E}">
          <x14:id>{AB7DB073-8D21-4987-B4CA-EB549BFCDAEB}</x14:id>
        </ext>
      </extLst>
    </cfRule>
  </conditionalFormatting>
  <conditionalFormatting sqref="D24:D39">
    <cfRule type="dataBar" priority="3">
      <dataBar>
        <cfvo type="num" val="0"/>
        <cfvo type="max"/>
        <color rgb="FFB5813C"/>
      </dataBar>
      <extLst>
        <ext xmlns:x14="http://schemas.microsoft.com/office/spreadsheetml/2009/9/main" uri="{B025F937-C7B1-47D3-B67F-A62EFF666E3E}">
          <x14:id>{33AFAFCB-3ADB-431C-9285-A1C8D1AF5199}</x14:id>
        </ext>
      </extLst>
    </cfRule>
  </conditionalFormatting>
  <conditionalFormatting sqref="E8:E19">
    <cfRule type="cellIs" dxfId="0" priority="2" operator="lessThan">
      <formula>0</formula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7DB073-8D21-4987-B4CA-EB549BFCDAEB}">
            <x14:dataBar axisPosition="none">
              <x14:cfvo type="num">
                <xm:f>0</xm:f>
              </x14:cfvo>
              <x14:cfvo type="max"/>
              <x14:negativeFillColor rgb="FF5B7695"/>
            </x14:dataBar>
          </x14:cfRule>
          <xm:sqref>C24:C39</xm:sqref>
        </x14:conditionalFormatting>
        <x14:conditionalFormatting xmlns:xm="http://schemas.microsoft.com/office/excel/2006/main">
          <x14:cfRule type="dataBar" id="{33AFAFCB-3ADB-431C-9285-A1C8D1AF5199}">
            <x14:dataBar axisPosition="none">
              <x14:cfvo type="num">
                <xm:f>0</xm:f>
              </x14:cfvo>
              <x14:cfvo type="max"/>
              <x14:negativeFillColor rgb="FFB5813C"/>
            </x14:dataBar>
          </x14:cfRule>
          <xm:sqref>D24:D39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7695"/>
  </sheetPr>
  <dimension ref="B1:H28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30" customWidth="1"/>
    <col min="3" max="3" width="3" customWidth="1"/>
    <col min="4" max="4" width="20" customWidth="1"/>
    <col min="5" max="5" width="3" customWidth="1"/>
    <col min="6" max="6" width="20" customWidth="1"/>
    <col min="7" max="7" width="3" customWidth="1"/>
    <col min="8" max="8" width="16" customWidth="1"/>
  </cols>
  <sheetData>
    <row r="1" spans="2:8" ht="6" customHeight="1" x14ac:dyDescent="0.25"/>
    <row r="2" spans="2:8" ht="21.75" customHeight="1" x14ac:dyDescent="0.25">
      <c r="B2" s="58" t="s">
        <v>187</v>
      </c>
      <c r="C2" s="58"/>
      <c r="D2" s="58"/>
      <c r="E2" s="58"/>
      <c r="F2" s="58"/>
      <c r="G2" s="58"/>
      <c r="H2" s="58"/>
    </row>
    <row r="3" spans="2:8" ht="12" customHeight="1" x14ac:dyDescent="0.25">
      <c r="B3" s="58"/>
      <c r="C3" s="58"/>
      <c r="D3" s="58"/>
      <c r="E3" s="58"/>
      <c r="F3" s="58"/>
      <c r="G3" s="58"/>
      <c r="H3" s="58"/>
    </row>
    <row r="4" spans="2:8" ht="4.5" customHeight="1" x14ac:dyDescent="0.25">
      <c r="B4" s="15"/>
      <c r="C4" s="15"/>
      <c r="D4" s="15"/>
      <c r="E4" s="15"/>
      <c r="F4" s="15"/>
      <c r="G4" s="15"/>
      <c r="H4" s="15"/>
    </row>
    <row r="5" spans="2:8" ht="25.5" customHeight="1" x14ac:dyDescent="0.25">
      <c r="B5" s="59" t="s">
        <v>188</v>
      </c>
      <c r="C5" s="59"/>
      <c r="D5" s="59"/>
      <c r="E5" s="59"/>
      <c r="F5" s="59"/>
      <c r="G5" s="59"/>
      <c r="H5" s="59"/>
    </row>
    <row r="7" spans="2:8" ht="18.75" customHeight="1" x14ac:dyDescent="0.25">
      <c r="B7" s="53" t="s">
        <v>189</v>
      </c>
      <c r="D7" s="53" t="s">
        <v>34</v>
      </c>
      <c r="F7" s="53" t="s">
        <v>190</v>
      </c>
      <c r="H7" s="53" t="s">
        <v>191</v>
      </c>
    </row>
    <row r="8" spans="2:8" ht="16.5" customHeight="1" x14ac:dyDescent="0.25">
      <c r="B8" s="54" t="s">
        <v>59</v>
      </c>
      <c r="D8" s="54" t="s">
        <v>48</v>
      </c>
      <c r="F8" s="54" t="s">
        <v>49</v>
      </c>
      <c r="H8" s="55">
        <v>0</v>
      </c>
    </row>
    <row r="9" spans="2:8" ht="16.5" customHeight="1" x14ac:dyDescent="0.25">
      <c r="B9" s="56" t="s">
        <v>47</v>
      </c>
      <c r="D9" s="56" t="s">
        <v>54</v>
      </c>
      <c r="F9" s="56" t="s">
        <v>55</v>
      </c>
      <c r="H9" s="57">
        <v>7.0000000000000007E-2</v>
      </c>
    </row>
    <row r="10" spans="2:8" ht="16.5" customHeight="1" x14ac:dyDescent="0.25">
      <c r="B10" s="54" t="s">
        <v>117</v>
      </c>
      <c r="F10" s="54" t="s">
        <v>64</v>
      </c>
      <c r="H10" s="55">
        <v>0.19</v>
      </c>
    </row>
    <row r="11" spans="2:8" ht="16.5" customHeight="1" x14ac:dyDescent="0.25">
      <c r="B11" s="56" t="s">
        <v>68</v>
      </c>
      <c r="F11" s="56" t="s">
        <v>103</v>
      </c>
    </row>
    <row r="12" spans="2:8" ht="16.5" customHeight="1" x14ac:dyDescent="0.25">
      <c r="B12" s="54" t="s">
        <v>74</v>
      </c>
      <c r="F12" s="54" t="s">
        <v>79</v>
      </c>
    </row>
    <row r="13" spans="2:8" ht="16.5" customHeight="1" x14ac:dyDescent="0.25">
      <c r="B13" s="56" t="s">
        <v>53</v>
      </c>
    </row>
    <row r="14" spans="2:8" ht="16.5" customHeight="1" x14ac:dyDescent="0.25">
      <c r="B14" s="54" t="s">
        <v>86</v>
      </c>
    </row>
    <row r="15" spans="2:8" ht="16.5" customHeight="1" x14ac:dyDescent="0.25">
      <c r="B15" s="56" t="s">
        <v>114</v>
      </c>
    </row>
    <row r="16" spans="2:8" ht="16.5" customHeight="1" x14ac:dyDescent="0.25">
      <c r="B16" s="54" t="s">
        <v>102</v>
      </c>
    </row>
    <row r="17" spans="2:8" ht="16.5" customHeight="1" x14ac:dyDescent="0.25">
      <c r="B17" s="56" t="s">
        <v>63</v>
      </c>
    </row>
    <row r="18" spans="2:8" ht="16.5" customHeight="1" x14ac:dyDescent="0.25">
      <c r="B18" s="54" t="s">
        <v>90</v>
      </c>
    </row>
    <row r="19" spans="2:8" ht="16.5" customHeight="1" x14ac:dyDescent="0.25">
      <c r="B19" s="56" t="s">
        <v>96</v>
      </c>
    </row>
    <row r="20" spans="2:8" ht="16.5" customHeight="1" x14ac:dyDescent="0.25">
      <c r="B20" s="54" t="s">
        <v>107</v>
      </c>
    </row>
    <row r="21" spans="2:8" ht="16.5" customHeight="1" x14ac:dyDescent="0.25">
      <c r="B21" s="56" t="s">
        <v>78</v>
      </c>
    </row>
    <row r="22" spans="2:8" ht="16.5" customHeight="1" x14ac:dyDescent="0.25">
      <c r="B22" s="54" t="s">
        <v>125</v>
      </c>
    </row>
    <row r="23" spans="2:8" ht="16.5" customHeight="1" x14ac:dyDescent="0.25">
      <c r="B23" s="56" t="s">
        <v>185</v>
      </c>
    </row>
    <row r="26" spans="2:8" ht="15" customHeight="1" x14ac:dyDescent="0.25">
      <c r="B26" s="1" t="s">
        <v>192</v>
      </c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</sheetData>
  <mergeCells count="3">
    <mergeCell ref="B2:H3"/>
    <mergeCell ref="B5:H5"/>
    <mergeCell ref="B26:H2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Abrechnung</vt:lpstr>
      <vt:lpstr>Auswertung</vt:lpstr>
      <vt:lpstr>Listen</vt:lpstr>
      <vt:lpstr>Buchungsarten</vt:lpstr>
      <vt:lpstr>Abrechnung!Druckbereich</vt:lpstr>
      <vt:lpstr>Auswertung!Druckbereich</vt:lpstr>
      <vt:lpstr>Abrechnung!Drucktitel</vt:lpstr>
      <vt:lpstr>Kategorien</vt:lpstr>
      <vt:lpstr>Steuersaetze</vt:lpstr>
      <vt:lpstr>Zahlungsarten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Abrechnungsvorlage 2026</dc:title>
  <dc:subject/>
  <dc:creator>Vorlage</dc:creator>
  <dc:description>Generische Abrechnungsvorlage für Einnahmen, Ausgaben, Umsatzsteuer und offene Posten.</dc:description>
  <cp:lastModifiedBy>Sergio Jiménez Canales</cp:lastModifiedBy>
  <cp:revision>1</cp:revision>
  <dcterms:created xsi:type="dcterms:W3CDTF">2026-08-21T12:41:21Z</dcterms:created>
  <dcterms:modified xsi:type="dcterms:W3CDTF">2026-08-21T13:46:58Z</dcterms:modified>
  <dc:language>en-US</dc:language>
</cp:coreProperties>
</file>