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BDD6405-729B-4604-A3C6-97003561A4C6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Abrechnung" sheetId="1" r:id="rId1"/>
    <sheet name="Auswertung" sheetId="2" r:id="rId2"/>
    <sheet name="Listen" sheetId="3" r:id="rId3"/>
  </sheets>
  <definedNames>
    <definedName name="_xlnm._FilterDatabase" localSheetId="0" hidden="1">Abrechnung!$B$19:$R$119</definedName>
    <definedName name="Buchungsarten">Listen!$H$11:$H$12</definedName>
    <definedName name="_xlnm.Print_Area" localSheetId="0">Abrechnung!$B$1:$R$128</definedName>
    <definedName name="_xlnm.Print_Area" localSheetId="1">Auswertung!$B$1:$M$64</definedName>
    <definedName name="_xlnm.Print_Titles" localSheetId="0">Abrechnung!$19:$19</definedName>
    <definedName name="Kategorien">Listen!$B$11:$B$26</definedName>
    <definedName name="Kostenstellen">Listen!$D$11:$D$15</definedName>
    <definedName name="Steuersaetze">Listen!$J$11:$J$13</definedName>
    <definedName name="Zahlungsarten">Listen!$F$11:$F$15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" i="3" l="1"/>
  <c r="D41" i="2"/>
  <c r="C41" i="2"/>
  <c r="D40" i="2"/>
  <c r="C40" i="2"/>
  <c r="D39" i="2"/>
  <c r="C39" i="2"/>
  <c r="M38" i="2"/>
  <c r="D38" i="2"/>
  <c r="C38" i="2"/>
  <c r="M37" i="2"/>
  <c r="J37" i="2"/>
  <c r="I37" i="2"/>
  <c r="K37" i="2" s="1"/>
  <c r="D37" i="2"/>
  <c r="F37" i="2" s="1"/>
  <c r="C37" i="2"/>
  <c r="E37" i="2" s="1"/>
  <c r="M36" i="2"/>
  <c r="J36" i="2"/>
  <c r="I36" i="2"/>
  <c r="K36" i="2" s="1"/>
  <c r="D36" i="2"/>
  <c r="C36" i="2"/>
  <c r="M35" i="2"/>
  <c r="K35" i="2"/>
  <c r="J35" i="2"/>
  <c r="I35" i="2"/>
  <c r="E35" i="2"/>
  <c r="D35" i="2"/>
  <c r="C35" i="2"/>
  <c r="M34" i="2"/>
  <c r="K34" i="2"/>
  <c r="J34" i="2"/>
  <c r="I34" i="2"/>
  <c r="E34" i="2"/>
  <c r="D34" i="2"/>
  <c r="C34" i="2"/>
  <c r="M33" i="2"/>
  <c r="J33" i="2"/>
  <c r="J38" i="2" s="1"/>
  <c r="L38" i="2" s="1"/>
  <c r="I33" i="2"/>
  <c r="I38" i="2" s="1"/>
  <c r="D33" i="2"/>
  <c r="C33" i="2"/>
  <c r="D32" i="2"/>
  <c r="C32" i="2"/>
  <c r="E32" i="2" s="1"/>
  <c r="D31" i="2"/>
  <c r="E31" i="2" s="1"/>
  <c r="C31" i="2"/>
  <c r="D30" i="2"/>
  <c r="C30" i="2"/>
  <c r="E30" i="2" s="1"/>
  <c r="I29" i="2"/>
  <c r="E29" i="2"/>
  <c r="D29" i="2"/>
  <c r="C29" i="2"/>
  <c r="D28" i="2"/>
  <c r="C28" i="2"/>
  <c r="K27" i="2"/>
  <c r="I27" i="2"/>
  <c r="D27" i="2"/>
  <c r="C27" i="2"/>
  <c r="E27" i="2" s="1"/>
  <c r="K26" i="2"/>
  <c r="K29" i="2" s="1"/>
  <c r="I26" i="2"/>
  <c r="E26" i="2"/>
  <c r="D26" i="2"/>
  <c r="D42" i="2" s="1"/>
  <c r="C26" i="2"/>
  <c r="C42" i="2" s="1"/>
  <c r="D21" i="2"/>
  <c r="C21" i="2"/>
  <c r="E21" i="2" s="1"/>
  <c r="K20" i="2"/>
  <c r="K21" i="2" s="1"/>
  <c r="I20" i="2"/>
  <c r="I21" i="2" s="1"/>
  <c r="D20" i="2"/>
  <c r="C20" i="2"/>
  <c r="E20" i="2" s="1"/>
  <c r="K19" i="2"/>
  <c r="J19" i="2"/>
  <c r="I19" i="2"/>
  <c r="E19" i="2"/>
  <c r="D19" i="2"/>
  <c r="C19" i="2"/>
  <c r="K18" i="2"/>
  <c r="J18" i="2"/>
  <c r="M18" i="2" s="1"/>
  <c r="I18" i="2"/>
  <c r="E18" i="2"/>
  <c r="D18" i="2"/>
  <c r="C18" i="2"/>
  <c r="D17" i="2"/>
  <c r="C17" i="2"/>
  <c r="E17" i="2" s="1"/>
  <c r="D16" i="2"/>
  <c r="C16" i="2"/>
  <c r="E16" i="2" s="1"/>
  <c r="E15" i="2"/>
  <c r="D15" i="2"/>
  <c r="C15" i="2"/>
  <c r="J14" i="2"/>
  <c r="I14" i="2"/>
  <c r="E14" i="2"/>
  <c r="D14" i="2"/>
  <c r="C14" i="2"/>
  <c r="L13" i="2"/>
  <c r="J13" i="2"/>
  <c r="I13" i="2"/>
  <c r="K13" i="2" s="1"/>
  <c r="M13" i="2" s="1"/>
  <c r="D13" i="2"/>
  <c r="E13" i="2" s="1"/>
  <c r="C13" i="2"/>
  <c r="L12" i="2"/>
  <c r="J12" i="2"/>
  <c r="I12" i="2"/>
  <c r="K12" i="2" s="1"/>
  <c r="M12" i="2" s="1"/>
  <c r="D12" i="2"/>
  <c r="E12" i="2" s="1"/>
  <c r="C12" i="2"/>
  <c r="L11" i="2"/>
  <c r="J11" i="2"/>
  <c r="I11" i="2"/>
  <c r="K11" i="2" s="1"/>
  <c r="M11" i="2" s="1"/>
  <c r="D11" i="2"/>
  <c r="C11" i="2"/>
  <c r="E11" i="2" s="1"/>
  <c r="L10" i="2"/>
  <c r="L14" i="2" s="1"/>
  <c r="J10" i="2"/>
  <c r="K10" i="2" s="1"/>
  <c r="I10" i="2"/>
  <c r="D10" i="2"/>
  <c r="D22" i="2" s="1"/>
  <c r="C10" i="2"/>
  <c r="C22" i="2" s="1"/>
  <c r="H5" i="2"/>
  <c r="R120" i="1"/>
  <c r="P120" i="1"/>
  <c r="J120" i="1"/>
  <c r="R119" i="1"/>
  <c r="Q119" i="1"/>
  <c r="M119" i="1"/>
  <c r="L119" i="1"/>
  <c r="B119" i="1"/>
  <c r="R118" i="1"/>
  <c r="Q118" i="1"/>
  <c r="M118" i="1"/>
  <c r="L118" i="1"/>
  <c r="B118" i="1"/>
  <c r="R117" i="1"/>
  <c r="Q117" i="1"/>
  <c r="M117" i="1"/>
  <c r="L117" i="1"/>
  <c r="B117" i="1"/>
  <c r="R116" i="1"/>
  <c r="Q116" i="1"/>
  <c r="M116" i="1"/>
  <c r="L116" i="1"/>
  <c r="B116" i="1"/>
  <c r="R115" i="1"/>
  <c r="Q115" i="1"/>
  <c r="M115" i="1"/>
  <c r="L115" i="1"/>
  <c r="B115" i="1"/>
  <c r="R114" i="1"/>
  <c r="Q114" i="1"/>
  <c r="M114" i="1"/>
  <c r="L114" i="1"/>
  <c r="B114" i="1"/>
  <c r="R113" i="1"/>
  <c r="Q113" i="1"/>
  <c r="M113" i="1"/>
  <c r="L113" i="1"/>
  <c r="B113" i="1"/>
  <c r="R112" i="1"/>
  <c r="Q112" i="1"/>
  <c r="M112" i="1"/>
  <c r="L112" i="1"/>
  <c r="B112" i="1"/>
  <c r="R111" i="1"/>
  <c r="Q111" i="1"/>
  <c r="M111" i="1"/>
  <c r="L111" i="1"/>
  <c r="B111" i="1"/>
  <c r="R110" i="1"/>
  <c r="Q110" i="1"/>
  <c r="M110" i="1"/>
  <c r="L110" i="1"/>
  <c r="B110" i="1"/>
  <c r="R109" i="1"/>
  <c r="Q109" i="1"/>
  <c r="M109" i="1"/>
  <c r="L109" i="1"/>
  <c r="B109" i="1"/>
  <c r="R108" i="1"/>
  <c r="Q108" i="1"/>
  <c r="M108" i="1"/>
  <c r="L108" i="1"/>
  <c r="B108" i="1"/>
  <c r="R107" i="1"/>
  <c r="Q107" i="1"/>
  <c r="M107" i="1"/>
  <c r="L107" i="1"/>
  <c r="B107" i="1"/>
  <c r="R106" i="1"/>
  <c r="Q106" i="1"/>
  <c r="M106" i="1"/>
  <c r="L106" i="1"/>
  <c r="B106" i="1"/>
  <c r="R105" i="1"/>
  <c r="Q105" i="1"/>
  <c r="M105" i="1"/>
  <c r="L105" i="1"/>
  <c r="B105" i="1"/>
  <c r="R104" i="1"/>
  <c r="Q104" i="1"/>
  <c r="M104" i="1"/>
  <c r="L104" i="1"/>
  <c r="B104" i="1"/>
  <c r="R103" i="1"/>
  <c r="Q103" i="1"/>
  <c r="M103" i="1"/>
  <c r="L103" i="1"/>
  <c r="B103" i="1"/>
  <c r="R102" i="1"/>
  <c r="Q102" i="1"/>
  <c r="M102" i="1"/>
  <c r="L102" i="1"/>
  <c r="B102" i="1"/>
  <c r="R101" i="1"/>
  <c r="Q101" i="1"/>
  <c r="M101" i="1"/>
  <c r="L101" i="1"/>
  <c r="B101" i="1"/>
  <c r="R100" i="1"/>
  <c r="Q100" i="1"/>
  <c r="M100" i="1"/>
  <c r="L100" i="1"/>
  <c r="B100" i="1"/>
  <c r="R99" i="1"/>
  <c r="Q99" i="1"/>
  <c r="M99" i="1"/>
  <c r="L99" i="1"/>
  <c r="B99" i="1"/>
  <c r="R98" i="1"/>
  <c r="Q98" i="1"/>
  <c r="M98" i="1"/>
  <c r="L98" i="1"/>
  <c r="B98" i="1"/>
  <c r="R97" i="1"/>
  <c r="Q97" i="1"/>
  <c r="M97" i="1"/>
  <c r="L97" i="1"/>
  <c r="B97" i="1"/>
  <c r="R96" i="1"/>
  <c r="Q96" i="1"/>
  <c r="M96" i="1"/>
  <c r="L96" i="1"/>
  <c r="B96" i="1"/>
  <c r="R95" i="1"/>
  <c r="Q95" i="1"/>
  <c r="M95" i="1"/>
  <c r="L95" i="1"/>
  <c r="B95" i="1"/>
  <c r="R94" i="1"/>
  <c r="Q94" i="1"/>
  <c r="M94" i="1"/>
  <c r="L94" i="1"/>
  <c r="B94" i="1"/>
  <c r="R93" i="1"/>
  <c r="Q93" i="1"/>
  <c r="M93" i="1"/>
  <c r="L93" i="1"/>
  <c r="B93" i="1"/>
  <c r="R92" i="1"/>
  <c r="Q92" i="1"/>
  <c r="M92" i="1"/>
  <c r="L92" i="1"/>
  <c r="B92" i="1"/>
  <c r="R91" i="1"/>
  <c r="Q91" i="1"/>
  <c r="M91" i="1"/>
  <c r="L91" i="1"/>
  <c r="B91" i="1"/>
  <c r="R90" i="1"/>
  <c r="Q90" i="1"/>
  <c r="M90" i="1"/>
  <c r="L90" i="1"/>
  <c r="B90" i="1"/>
  <c r="R89" i="1"/>
  <c r="Q89" i="1"/>
  <c r="M89" i="1"/>
  <c r="L89" i="1"/>
  <c r="B89" i="1"/>
  <c r="R88" i="1"/>
  <c r="Q88" i="1"/>
  <c r="M88" i="1"/>
  <c r="L88" i="1"/>
  <c r="B88" i="1"/>
  <c r="R87" i="1"/>
  <c r="Q87" i="1"/>
  <c r="M87" i="1"/>
  <c r="L87" i="1"/>
  <c r="B87" i="1"/>
  <c r="R86" i="1"/>
  <c r="Q86" i="1"/>
  <c r="M86" i="1"/>
  <c r="L86" i="1"/>
  <c r="B86" i="1"/>
  <c r="R85" i="1"/>
  <c r="Q85" i="1"/>
  <c r="M85" i="1"/>
  <c r="L85" i="1"/>
  <c r="B85" i="1"/>
  <c r="R84" i="1"/>
  <c r="Q84" i="1"/>
  <c r="M84" i="1"/>
  <c r="L84" i="1"/>
  <c r="B84" i="1"/>
  <c r="R83" i="1"/>
  <c r="Q83" i="1"/>
  <c r="M83" i="1"/>
  <c r="L83" i="1"/>
  <c r="B83" i="1"/>
  <c r="R82" i="1"/>
  <c r="Q82" i="1"/>
  <c r="M82" i="1"/>
  <c r="L82" i="1"/>
  <c r="B82" i="1"/>
  <c r="R81" i="1"/>
  <c r="Q81" i="1"/>
  <c r="M81" i="1"/>
  <c r="L81" i="1"/>
  <c r="B81" i="1"/>
  <c r="R80" i="1"/>
  <c r="Q80" i="1"/>
  <c r="M80" i="1"/>
  <c r="L80" i="1"/>
  <c r="B80" i="1"/>
  <c r="R79" i="1"/>
  <c r="Q79" i="1"/>
  <c r="M79" i="1"/>
  <c r="L79" i="1"/>
  <c r="B79" i="1"/>
  <c r="R78" i="1"/>
  <c r="Q78" i="1"/>
  <c r="M78" i="1"/>
  <c r="L78" i="1"/>
  <c r="B78" i="1"/>
  <c r="R77" i="1"/>
  <c r="Q77" i="1"/>
  <c r="M77" i="1"/>
  <c r="L77" i="1"/>
  <c r="B77" i="1"/>
  <c r="R76" i="1"/>
  <c r="Q76" i="1"/>
  <c r="M76" i="1"/>
  <c r="L76" i="1"/>
  <c r="B76" i="1"/>
  <c r="R75" i="1"/>
  <c r="Q75" i="1"/>
  <c r="M75" i="1"/>
  <c r="L75" i="1"/>
  <c r="B75" i="1"/>
  <c r="R74" i="1"/>
  <c r="Q74" i="1"/>
  <c r="M74" i="1"/>
  <c r="L74" i="1"/>
  <c r="B74" i="1"/>
  <c r="R73" i="1"/>
  <c r="Q73" i="1"/>
  <c r="M73" i="1"/>
  <c r="L73" i="1"/>
  <c r="B73" i="1"/>
  <c r="R72" i="1"/>
  <c r="Q72" i="1"/>
  <c r="M72" i="1"/>
  <c r="L72" i="1"/>
  <c r="B72" i="1"/>
  <c r="R71" i="1"/>
  <c r="Q71" i="1"/>
  <c r="M71" i="1"/>
  <c r="L71" i="1"/>
  <c r="B71" i="1"/>
  <c r="R70" i="1"/>
  <c r="Q70" i="1"/>
  <c r="M70" i="1"/>
  <c r="L70" i="1"/>
  <c r="B70" i="1"/>
  <c r="R69" i="1"/>
  <c r="Q69" i="1"/>
  <c r="M69" i="1"/>
  <c r="L69" i="1"/>
  <c r="B69" i="1"/>
  <c r="R68" i="1"/>
  <c r="Q68" i="1"/>
  <c r="M68" i="1"/>
  <c r="L68" i="1"/>
  <c r="B68" i="1"/>
  <c r="R67" i="1"/>
  <c r="Q67" i="1"/>
  <c r="M67" i="1"/>
  <c r="L67" i="1"/>
  <c r="B67" i="1"/>
  <c r="R66" i="1"/>
  <c r="Q66" i="1"/>
  <c r="M66" i="1"/>
  <c r="L66" i="1"/>
  <c r="B66" i="1"/>
  <c r="R65" i="1"/>
  <c r="Q65" i="1"/>
  <c r="M65" i="1"/>
  <c r="L65" i="1"/>
  <c r="B65" i="1"/>
  <c r="R64" i="1"/>
  <c r="Q64" i="1"/>
  <c r="M64" i="1"/>
  <c r="L64" i="1"/>
  <c r="B64" i="1"/>
  <c r="R63" i="1"/>
  <c r="Q63" i="1"/>
  <c r="M63" i="1"/>
  <c r="L63" i="1"/>
  <c r="B63" i="1"/>
  <c r="R62" i="1"/>
  <c r="Q62" i="1"/>
  <c r="M62" i="1"/>
  <c r="L62" i="1"/>
  <c r="B62" i="1"/>
  <c r="R61" i="1"/>
  <c r="Q61" i="1"/>
  <c r="M61" i="1"/>
  <c r="L61" i="1"/>
  <c r="B61" i="1"/>
  <c r="R60" i="1"/>
  <c r="Q60" i="1"/>
  <c r="M60" i="1"/>
  <c r="L60" i="1"/>
  <c r="B60" i="1"/>
  <c r="R59" i="1"/>
  <c r="Q59" i="1"/>
  <c r="M59" i="1"/>
  <c r="L59" i="1"/>
  <c r="B59" i="1"/>
  <c r="R58" i="1"/>
  <c r="Q58" i="1"/>
  <c r="M58" i="1"/>
  <c r="L58" i="1"/>
  <c r="B58" i="1"/>
  <c r="R57" i="1"/>
  <c r="Q57" i="1"/>
  <c r="M57" i="1"/>
  <c r="L57" i="1"/>
  <c r="B57" i="1"/>
  <c r="R56" i="1"/>
  <c r="Q56" i="1"/>
  <c r="M56" i="1"/>
  <c r="L56" i="1"/>
  <c r="B56" i="1"/>
  <c r="R55" i="1"/>
  <c r="Q55" i="1"/>
  <c r="M55" i="1"/>
  <c r="L55" i="1"/>
  <c r="B55" i="1"/>
  <c r="R54" i="1"/>
  <c r="Q54" i="1"/>
  <c r="M54" i="1"/>
  <c r="L54" i="1"/>
  <c r="B54" i="1"/>
  <c r="R53" i="1"/>
  <c r="Q53" i="1"/>
  <c r="M53" i="1"/>
  <c r="L53" i="1"/>
  <c r="B53" i="1"/>
  <c r="R52" i="1"/>
  <c r="Q52" i="1"/>
  <c r="M52" i="1"/>
  <c r="L52" i="1"/>
  <c r="B52" i="1"/>
  <c r="R51" i="1"/>
  <c r="Q51" i="1"/>
  <c r="M51" i="1"/>
  <c r="L51" i="1"/>
  <c r="B51" i="1"/>
  <c r="R50" i="1"/>
  <c r="Q50" i="1"/>
  <c r="M50" i="1"/>
  <c r="L50" i="1"/>
  <c r="B50" i="1"/>
  <c r="R49" i="1"/>
  <c r="Q49" i="1"/>
  <c r="M49" i="1"/>
  <c r="L49" i="1"/>
  <c r="B49" i="1"/>
  <c r="R48" i="1"/>
  <c r="Q48" i="1"/>
  <c r="M48" i="1"/>
  <c r="L48" i="1"/>
  <c r="B48" i="1"/>
  <c r="R47" i="1"/>
  <c r="Q47" i="1"/>
  <c r="M47" i="1"/>
  <c r="L47" i="1"/>
  <c r="B47" i="1"/>
  <c r="R46" i="1"/>
  <c r="Q46" i="1"/>
  <c r="M46" i="1"/>
  <c r="L46" i="1"/>
  <c r="B46" i="1"/>
  <c r="L45" i="1"/>
  <c r="M45" i="1" s="1"/>
  <c r="B45" i="1"/>
  <c r="L44" i="1"/>
  <c r="M44" i="1" s="1"/>
  <c r="B44" i="1"/>
  <c r="L43" i="1"/>
  <c r="M43" i="1" s="1"/>
  <c r="B43" i="1"/>
  <c r="R42" i="1"/>
  <c r="M42" i="1"/>
  <c r="Q42" i="1" s="1"/>
  <c r="L42" i="1"/>
  <c r="B42" i="1"/>
  <c r="L41" i="1"/>
  <c r="M41" i="1" s="1"/>
  <c r="B41" i="1"/>
  <c r="L40" i="1"/>
  <c r="M40" i="1" s="1"/>
  <c r="B40" i="1"/>
  <c r="L39" i="1"/>
  <c r="M39" i="1" s="1"/>
  <c r="B39" i="1"/>
  <c r="R38" i="1"/>
  <c r="M38" i="1"/>
  <c r="Q38" i="1" s="1"/>
  <c r="L38" i="1"/>
  <c r="B38" i="1"/>
  <c r="L37" i="1"/>
  <c r="M37" i="1" s="1"/>
  <c r="B37" i="1"/>
  <c r="L36" i="1"/>
  <c r="M36" i="1" s="1"/>
  <c r="B36" i="1"/>
  <c r="L35" i="1"/>
  <c r="M35" i="1" s="1"/>
  <c r="B35" i="1"/>
  <c r="R34" i="1"/>
  <c r="M34" i="1"/>
  <c r="Q34" i="1" s="1"/>
  <c r="L34" i="1"/>
  <c r="B34" i="1"/>
  <c r="L33" i="1"/>
  <c r="M33" i="1" s="1"/>
  <c r="B33" i="1"/>
  <c r="L32" i="1"/>
  <c r="M32" i="1" s="1"/>
  <c r="B32" i="1"/>
  <c r="L31" i="1"/>
  <c r="M31" i="1" s="1"/>
  <c r="B31" i="1"/>
  <c r="R30" i="1"/>
  <c r="M30" i="1"/>
  <c r="Q30" i="1" s="1"/>
  <c r="L30" i="1"/>
  <c r="B30" i="1"/>
  <c r="L29" i="1"/>
  <c r="M29" i="1" s="1"/>
  <c r="B29" i="1"/>
  <c r="L28" i="1"/>
  <c r="M28" i="1" s="1"/>
  <c r="B28" i="1"/>
  <c r="L27" i="1"/>
  <c r="L19" i="2" s="1"/>
  <c r="B27" i="1"/>
  <c r="R26" i="1"/>
  <c r="M26" i="1"/>
  <c r="Q26" i="1" s="1"/>
  <c r="L26" i="1"/>
  <c r="B26" i="1"/>
  <c r="L25" i="1"/>
  <c r="J16" i="1" s="1"/>
  <c r="B25" i="1"/>
  <c r="L24" i="1"/>
  <c r="M24" i="1" s="1"/>
  <c r="B24" i="1"/>
  <c r="L23" i="1"/>
  <c r="L20" i="2" s="1"/>
  <c r="B23" i="1"/>
  <c r="R22" i="1"/>
  <c r="M22" i="1"/>
  <c r="Q22" i="1" s="1"/>
  <c r="L22" i="1"/>
  <c r="B22" i="1"/>
  <c r="L21" i="1"/>
  <c r="L18" i="2" s="1"/>
  <c r="B21" i="1"/>
  <c r="L20" i="1"/>
  <c r="L120" i="1" s="1"/>
  <c r="B20" i="1"/>
  <c r="H16" i="1"/>
  <c r="F16" i="1"/>
  <c r="E16" i="1"/>
  <c r="B16" i="1"/>
  <c r="K5" i="1"/>
  <c r="F29" i="2" l="1"/>
  <c r="F35" i="2"/>
  <c r="F26" i="2"/>
  <c r="F27" i="2"/>
  <c r="F31" i="2"/>
  <c r="F34" i="2"/>
  <c r="F32" i="2"/>
  <c r="F36" i="2"/>
  <c r="Q31" i="1"/>
  <c r="R31" i="1"/>
  <c r="Q39" i="1"/>
  <c r="R39" i="1"/>
  <c r="F33" i="2"/>
  <c r="R24" i="1"/>
  <c r="Q24" i="1"/>
  <c r="R32" i="1"/>
  <c r="Q32" i="1"/>
  <c r="R40" i="1"/>
  <c r="Q40" i="1"/>
  <c r="L36" i="2"/>
  <c r="L37" i="2"/>
  <c r="R33" i="1"/>
  <c r="Q33" i="1"/>
  <c r="F28" i="2"/>
  <c r="L34" i="2"/>
  <c r="F38" i="2"/>
  <c r="L21" i="2"/>
  <c r="R41" i="1"/>
  <c r="Q41" i="1"/>
  <c r="Q35" i="1"/>
  <c r="R35" i="1"/>
  <c r="Q43" i="1"/>
  <c r="R43" i="1"/>
  <c r="M19" i="2"/>
  <c r="R28" i="1"/>
  <c r="Q28" i="1"/>
  <c r="R36" i="1"/>
  <c r="Q36" i="1"/>
  <c r="R44" i="1"/>
  <c r="Q44" i="1"/>
  <c r="M10" i="2"/>
  <c r="K14" i="2"/>
  <c r="M14" i="2" s="1"/>
  <c r="F39" i="2"/>
  <c r="R29" i="1"/>
  <c r="Q29" i="1"/>
  <c r="R37" i="1"/>
  <c r="Q37" i="1"/>
  <c r="R45" i="1"/>
  <c r="Q45" i="1"/>
  <c r="F40" i="2"/>
  <c r="L35" i="2"/>
  <c r="F41" i="2"/>
  <c r="M20" i="1"/>
  <c r="F30" i="2"/>
  <c r="E28" i="2"/>
  <c r="E42" i="2" s="1"/>
  <c r="M25" i="1"/>
  <c r="M23" i="1"/>
  <c r="E39" i="2"/>
  <c r="M21" i="1"/>
  <c r="J20" i="2"/>
  <c r="E10" i="2"/>
  <c r="E40" i="2"/>
  <c r="E33" i="2"/>
  <c r="E41" i="2"/>
  <c r="L33" i="2"/>
  <c r="E38" i="2"/>
  <c r="M27" i="1"/>
  <c r="K33" i="2"/>
  <c r="K38" i="2" s="1"/>
  <c r="E36" i="2"/>
  <c r="J26" i="2" l="1"/>
  <c r="R20" i="1"/>
  <c r="Q20" i="1"/>
  <c r="M120" i="1"/>
  <c r="M20" i="2"/>
  <c r="M21" i="2" s="1"/>
  <c r="J21" i="2"/>
  <c r="J27" i="2"/>
  <c r="M27" i="2" s="1"/>
  <c r="R21" i="1"/>
  <c r="Q21" i="1"/>
  <c r="R25" i="1"/>
  <c r="Q25" i="1"/>
  <c r="Q27" i="1"/>
  <c r="R27" i="1"/>
  <c r="F21" i="2"/>
  <c r="F10" i="2"/>
  <c r="F18" i="2"/>
  <c r="F14" i="2"/>
  <c r="F12" i="2"/>
  <c r="F20" i="2"/>
  <c r="F19" i="2"/>
  <c r="F17" i="2"/>
  <c r="F16" i="2"/>
  <c r="F11" i="2"/>
  <c r="F15" i="2"/>
  <c r="F13" i="2"/>
  <c r="E22" i="2"/>
  <c r="F42" i="2"/>
  <c r="Q23" i="1"/>
  <c r="R23" i="1"/>
  <c r="J29" i="2" l="1"/>
  <c r="M29" i="2" s="1"/>
  <c r="M26" i="2"/>
  <c r="O16" i="1"/>
  <c r="L27" i="2"/>
  <c r="M16" i="1"/>
  <c r="L26" i="2"/>
  <c r="L29" i="2" s="1"/>
  <c r="Q120" i="1"/>
  <c r="J28" i="2"/>
  <c r="L28" i="2"/>
  <c r="K28" i="2"/>
  <c r="M28" i="2" s="1"/>
  <c r="I28" i="2"/>
  <c r="Q16" i="1"/>
</calcChain>
</file>

<file path=xl/sharedStrings.xml><?xml version="1.0" encoding="utf-8"?>
<sst xmlns="http://schemas.openxmlformats.org/spreadsheetml/2006/main" count="369" uniqueCount="212">
  <si>
    <t>Beispiel Industrie- und Handelsgesellschaft mbH</t>
  </si>
  <si>
    <t>ABRECHNUNG</t>
  </si>
  <si>
    <t>Hafenstraße 118  ·  30159 Hannover  ·  Telefon 0511 000000  ·  info@beispiel-gmbh.de</t>
  </si>
  <si>
    <t>Einnahmen- und Ausgabenabrechnung  ·  Geschäftsjahr 2026</t>
  </si>
  <si>
    <t>USt-IdNr. DE 815 234 907  ·  Handelsregister HRB 00000  ·  IBAN DE02 5001 0517 0000 0000 00</t>
  </si>
  <si>
    <t>ANGABEN ZUR ABRECHNUNG</t>
  </si>
  <si>
    <t>Blau dargestellte Werte sind Eingaben</t>
  </si>
  <si>
    <t>Abrechnungsnummer</t>
  </si>
  <si>
    <t>ABR-2026-08</t>
  </si>
  <si>
    <t>Erstellt am</t>
  </si>
  <si>
    <t>Anwendung:  Buchungen im Journal erfassen – Nummerierung, Umsatzsteuer, Brutto, offener Betrag und Status rechnen sich selbst. Alle Auswertungen folgen automatisch.</t>
  </si>
  <si>
    <t>Abrechnungszeitraum von</t>
  </si>
  <si>
    <t>Bearbeiter/in</t>
  </si>
  <si>
    <t>M. Grothe, Rechnungswesen</t>
  </si>
  <si>
    <t>Abrechnungszeitraum bis</t>
  </si>
  <si>
    <t>Freigabe / Prüfung</t>
  </si>
  <si>
    <t>K. Ostermann, Geschäftsleitung</t>
  </si>
  <si>
    <t>KENNZAHLEN DES ABRECHNUNGSZEITRAUMS</t>
  </si>
  <si>
    <t>berechnet aus dem Buchungsjournal</t>
  </si>
  <si>
    <t>EINNAHMEN NETTO</t>
  </si>
  <si>
    <t>AUSGABEN NETTO</t>
  </si>
  <si>
    <t>ERGEBNIS NETTO</t>
  </si>
  <si>
    <t>ERGEBNISQUOTE</t>
  </si>
  <si>
    <t>UST-ZAHLLAST</t>
  </si>
  <si>
    <t>OFFENE FORDERUNGEN</t>
  </si>
  <si>
    <t>OFFENE VERBINDLICHK.</t>
  </si>
  <si>
    <t>DAVON ÜBERFÄLLIG</t>
  </si>
  <si>
    <t>BUCHUNGSJOURNAL</t>
  </si>
  <si>
    <t>eine Zeile je Vorgang  ·  Auswahllisten im Blatt „Listen“</t>
  </si>
  <si>
    <t>Nr.</t>
  </si>
  <si>
    <t>Datum</t>
  </si>
  <si>
    <t>Beleg-Nr.</t>
  </si>
  <si>
    <t>Beschreibung</t>
  </si>
  <si>
    <t>Geschäftspartner</t>
  </si>
  <si>
    <t>Kostenstelle</t>
  </si>
  <si>
    <t>Kategorie</t>
  </si>
  <si>
    <t>Typ</t>
  </si>
  <si>
    <t>Netto €</t>
  </si>
  <si>
    <t>USt-Satz</t>
  </si>
  <si>
    <t>USt €</t>
  </si>
  <si>
    <t>Brutto €</t>
  </si>
  <si>
    <t>Zahlungsart</t>
  </si>
  <si>
    <t>Fällig am</t>
  </si>
  <si>
    <t>Bezahlt €</t>
  </si>
  <si>
    <t>Offen €</t>
  </si>
  <si>
    <t>Status</t>
  </si>
  <si>
    <t>AR-26-0101</t>
  </si>
  <si>
    <t>Rahmenvertrag Serviceleistungen Q1</t>
  </si>
  <si>
    <t>Hoffmeier Industrietechnik GmbH</t>
  </si>
  <si>
    <t>KST 300 Leistung</t>
  </si>
  <si>
    <t>Dienstleistungserlöse</t>
  </si>
  <si>
    <t>Einnahme</t>
  </si>
  <si>
    <t>Überweisung</t>
  </si>
  <si>
    <t>ER-26-0210</t>
  </si>
  <si>
    <t>Gewerbemiete Januar</t>
  </si>
  <si>
    <t>Steinfurt Immobilien GmbH</t>
  </si>
  <si>
    <t>KST 200 Verwaltung</t>
  </si>
  <si>
    <t>Raumkosten</t>
  </si>
  <si>
    <t>Ausgabe</t>
  </si>
  <si>
    <t>Lastschrift</t>
  </si>
  <si>
    <t>AR-26-0102</t>
  </si>
  <si>
    <t>Warenlieferung Auftrag 26-0044</t>
  </si>
  <si>
    <t>Talbach Logistik KG</t>
  </si>
  <si>
    <t>KST 100 Vertrieb</t>
  </si>
  <si>
    <t>Warenerlöse</t>
  </si>
  <si>
    <t>ER-26-0211</t>
  </si>
  <si>
    <t>Lizenzen Warenwirtschaft (Jahresabo)</t>
  </si>
  <si>
    <t>Rheinwerk Software AG</t>
  </si>
  <si>
    <t>KST 500 IT</t>
  </si>
  <si>
    <t>IT &amp; Software</t>
  </si>
  <si>
    <t>Kreditkarte</t>
  </si>
  <si>
    <t>ER-26-0212</t>
  </si>
  <si>
    <t>Wareneinkauf Sammelbestellung</t>
  </si>
  <si>
    <t>Barkhoff Großhandel GmbH</t>
  </si>
  <si>
    <t>Wareneinsatz</t>
  </si>
  <si>
    <t>AR-26-0103</t>
  </si>
  <si>
    <t>Wartungspauschale Februar</t>
  </si>
  <si>
    <t>ER-26-0213</t>
  </si>
  <si>
    <t>Personalaufwand Februar</t>
  </si>
  <si>
    <t>Interne Lohnabrechnung</t>
  </si>
  <si>
    <t>Personalkosten</t>
  </si>
  <si>
    <t>ER-26-0214</t>
  </si>
  <si>
    <t>Fachzeitschriften und Normen</t>
  </si>
  <si>
    <t>Akademie Nordring</t>
  </si>
  <si>
    <t>Fortbildung</t>
  </si>
  <si>
    <t>PayPal</t>
  </si>
  <si>
    <t>AR-26-0104</t>
  </si>
  <si>
    <t>Projektabrechnung Ausbaustufe 1</t>
  </si>
  <si>
    <t>Cordes &amp; Behn GbR</t>
  </si>
  <si>
    <t>ER-26-0215</t>
  </si>
  <si>
    <t>Fuhrpark Kraftstoff und Wartung</t>
  </si>
  <si>
    <t>Autohaus Kienbaum</t>
  </si>
  <si>
    <t>Fahrzeugkosten</t>
  </si>
  <si>
    <t>ER-26-0216</t>
  </si>
  <si>
    <t>Messeauftritt Frühjahr</t>
  </si>
  <si>
    <t>Feldschmidt Werbung GmbH</t>
  </si>
  <si>
    <t>KST 400 Marketing</t>
  </si>
  <si>
    <t>Marketing</t>
  </si>
  <si>
    <t>AR-26-0105</t>
  </si>
  <si>
    <t>Warenerlöse Sammelrechnung März</t>
  </si>
  <si>
    <t>ER-26-0217</t>
  </si>
  <si>
    <t>Betriebshaftpflicht Jahresrate</t>
  </si>
  <si>
    <t>Lohmann Versicherungsdienst AG</t>
  </si>
  <si>
    <t>Versicherungen &amp; Beiträge</t>
  </si>
  <si>
    <t>AR-26-0106</t>
  </si>
  <si>
    <t>Schulung beim Kunden (3 Tage)</t>
  </si>
  <si>
    <t>ER-26-0218</t>
  </si>
  <si>
    <t>Büro- und Verbrauchsmaterial</t>
  </si>
  <si>
    <t>Amsel Bürobedarf GmbH</t>
  </si>
  <si>
    <t>Bürobedarf</t>
  </si>
  <si>
    <t>Bar</t>
  </si>
  <si>
    <t>ER-26-0219</t>
  </si>
  <si>
    <t>Jahresabschluss und Beratung</t>
  </si>
  <si>
    <t>Kanzlei Vogtland &amp; Partner</t>
  </si>
  <si>
    <t>Beratungskosten</t>
  </si>
  <si>
    <t>AR-26-0107</t>
  </si>
  <si>
    <t>Warenlieferung Auftrag 26-0129</t>
  </si>
  <si>
    <t>ER-26-0220</t>
  </si>
  <si>
    <t>Bahnreisen Kundentermine</t>
  </si>
  <si>
    <t>Süddeutsche Bahnreisen</t>
  </si>
  <si>
    <t>Reisekosten</t>
  </si>
  <si>
    <t>AR-26-0108</t>
  </si>
  <si>
    <t>Erstattung Versicherungsschaden</t>
  </si>
  <si>
    <t>Sonstige Erträge</t>
  </si>
  <si>
    <t>ER-26-0221</t>
  </si>
  <si>
    <t>Wareneinkauf Nachbestellung</t>
  </si>
  <si>
    <t>AR-26-0109</t>
  </si>
  <si>
    <t>Projektabrechnung Ausbaustufe 2</t>
  </si>
  <si>
    <t>ER-26-0222</t>
  </si>
  <si>
    <t>Kontoführung und Zahlungsverkehr</t>
  </si>
  <si>
    <t>Hausbank</t>
  </si>
  <si>
    <t>Bankgebühren</t>
  </si>
  <si>
    <t>AR-26-0110</t>
  </si>
  <si>
    <t>Rahmenvertrag Serviceleistungen Q3</t>
  </si>
  <si>
    <t>ER-26-0223</t>
  </si>
  <si>
    <t>Onlinekampagne Sommer</t>
  </si>
  <si>
    <t>AR-26-0111</t>
  </si>
  <si>
    <t>Warenerlöse Sammelrechnung Juli</t>
  </si>
  <si>
    <t>ER-26-0224</t>
  </si>
  <si>
    <t>Serverwartung und Backup</t>
  </si>
  <si>
    <t>SUMME  ·  erfasste Buchungen</t>
  </si>
  <si>
    <t>HINWEISE ZUR ANWENDUNG</t>
  </si>
  <si>
    <t>—   Blaue Werte sind Eingaben, graue Werte sind Formeln (Nr., USt €, Brutto €, Offen €, Status). Formelspalten bitte nicht überschreiben.</t>
  </si>
  <si>
    <t>—   Je Vorgang eine Zeile erfassen. Kostenstelle, Kategorie, Typ, USt-Satz und Zahlungsart stehen als Auswahllisten bereit und lassen sich im Blatt „Listen“ erweitern.</t>
  </si>
  <si>
    <t>—   Der Status ergibt sich automatisch: Bezahlt € ≥ Brutto € = „Bezahlt“, Teilbetrag = „Teilzahlung“, Fälligkeit überschritten = „Überfällig“, sonst „Offen“. Überfällige Zeilen werden farbig hervorgehoben.</t>
  </si>
  <si>
    <t>—   Gutschriften und Stornierungen werden mit negativem Nettobetrag in derselben Kategorie erfasst. Kleinunternehmer nach § 19 UStG verwenden durchgehend den Satz 0 %.</t>
  </si>
  <si>
    <t>—   Die Vorlage ist auf 100 Buchungszeilen ausgelegt; weitere Zeilen bitte innerhalb dieses Bereichs einfügen, damit Summen und Auswertungen mitwachsen.</t>
  </si>
  <si>
    <t>—   Die eingetragenen Werte sind unverbindliche Beispieldaten. Die Vorlage ersetzt weder Buchführungspflichten noch eine steuerliche Beratung.</t>
  </si>
  <si>
    <t>AUSWERTUNG</t>
  </si>
  <si>
    <t>Kennzahlen, Perioden, Kostenstellen und Umsatzsteuer</t>
  </si>
  <si>
    <t>MONATSÜBERSICHT (NETTO)</t>
  </si>
  <si>
    <t>QUARTALSÜBERSICHT</t>
  </si>
  <si>
    <t>Monat</t>
  </si>
  <si>
    <t>Einnahmen €</t>
  </si>
  <si>
    <t>Ausgaben €</t>
  </si>
  <si>
    <t>Ergebnis €</t>
  </si>
  <si>
    <t>Kumuliert €</t>
  </si>
  <si>
    <t>Quartal</t>
  </si>
  <si>
    <t>USt-Zahllast €</t>
  </si>
  <si>
    <t>Quote</t>
  </si>
  <si>
    <t>Januar</t>
  </si>
  <si>
    <t>Quartal 1</t>
  </si>
  <si>
    <t>Februar</t>
  </si>
  <si>
    <t>Quartal 2</t>
  </si>
  <si>
    <t>März</t>
  </si>
  <si>
    <t>Quartal 3</t>
  </si>
  <si>
    <t>April</t>
  </si>
  <si>
    <t>Quartal 4</t>
  </si>
  <si>
    <t>Mai</t>
  </si>
  <si>
    <t>GESAMTJAHR</t>
  </si>
  <si>
    <t>Juni</t>
  </si>
  <si>
    <t>Juli</t>
  </si>
  <si>
    <t>UMSATZSTEUER NACH SATZ</t>
  </si>
  <si>
    <t>August</t>
  </si>
  <si>
    <t>Netto Einnahmen</t>
  </si>
  <si>
    <t>USt vereinnahmt</t>
  </si>
  <si>
    <t>Netto Ausgaben</t>
  </si>
  <si>
    <t>Vorsteuer</t>
  </si>
  <si>
    <t>Zahllast</t>
  </si>
  <si>
    <t>September</t>
  </si>
  <si>
    <t>Oktober</t>
  </si>
  <si>
    <t>November</t>
  </si>
  <si>
    <t>Dezember</t>
  </si>
  <si>
    <t>SUMME</t>
  </si>
  <si>
    <t>GESAMT</t>
  </si>
  <si>
    <t>Zahllast = vereinnahmte Umsatzsteuer abzüglich abziehbarer Vorsteuer (Sollversteuerung).</t>
  </si>
  <si>
    <t>AUSWERTUNG NACH KATEGORIE (NETTO)</t>
  </si>
  <si>
    <t>OFFENE POSTEN UND FÄLLIGKEITEN</t>
  </si>
  <si>
    <t>Saldo €</t>
  </si>
  <si>
    <t>Anteil</t>
  </si>
  <si>
    <t>Position</t>
  </si>
  <si>
    <t>Anzahl</t>
  </si>
  <si>
    <t>Brutto gesamt</t>
  </si>
  <si>
    <t>Bezahlt</t>
  </si>
  <si>
    <t>Offen</t>
  </si>
  <si>
    <t>Forderungen (Einnahmen)</t>
  </si>
  <si>
    <t>Verbindlichkeiten (Ausgaben)</t>
  </si>
  <si>
    <t>davon überfällig</t>
  </si>
  <si>
    <t>AUSWERTUNG NACH KOSTENSTELLE (NETTO)</t>
  </si>
  <si>
    <t>Anteil Ausgaben</t>
  </si>
  <si>
    <t>Belege</t>
  </si>
  <si>
    <t>Sonstige Betriebskosten</t>
  </si>
  <si>
    <t>Sämtliche Werte dieses Blattes werden automatisch aus dem Blatt „Abrechnung“ ermittelt. Bitte keine Werte überschreiben – Änderungen ausschließlich im Buchungsjournal vornehmen.</t>
  </si>
  <si>
    <t>LISTEN</t>
  </si>
  <si>
    <t>Auswahlwerte für das Buchungsjournal</t>
  </si>
  <si>
    <t>Die folgenden Einträge steuern die Auswahllisten im Blatt „Abrechnung“. Sie können angepasst oder ergänzt werden; Kategorien und Kostenstellen sind zusätzlich in den entsprechenden Tabellen des Blattes „Auswertung“ nachzuziehen.</t>
  </si>
  <si>
    <t>KATEGORIEN</t>
  </si>
  <si>
    <t>KOSTENSTELLEN</t>
  </si>
  <si>
    <t>ZAHLUNGSARTEN</t>
  </si>
  <si>
    <t>TYP</t>
  </si>
  <si>
    <t>USt-SÄTZE</t>
  </si>
  <si>
    <t>Hinweis: Abgebildet ist die Regelbesteuerung mit 0 %, 7 % und 19 %. Kleinunternehmer nach § 19 UStG verwenden durchgehend 0 %. Weitere Steuersätze lassen sich hier ergänzen und in der Umsatzsteuer-Auswertung nachziehen.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</si>
</sst>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.mm\.yyyy"/>
    <numFmt numFmtId="165" formatCode="#,##0.00&quot; €&quot;;\-#,##0.00&quot; €&quot;;\–"/>
    <numFmt numFmtId="166" formatCode="#,##0.00&quot; €&quot;;[Red]\-#,##0.00&quot; €&quot;;\–"/>
    <numFmt numFmtId="167" formatCode="0.0%"/>
    <numFmt numFmtId="168" formatCode="#,##0.00&quot; €&quot;"/>
    <numFmt numFmtId="169" formatCode="0\ %"/>
    <numFmt numFmtId="170" formatCode="#,##0;\-#,##0;\–"/>
  </numFmts>
  <fonts count="20" x14ac:knownFonts="1">
    <font>
      <sz val="11"/>
      <color theme="1"/>
      <name val="Calibri"/>
      <family val="2"/>
      <charset val="1"/>
    </font>
    <font>
      <b/>
      <sz val="15"/>
      <color rgb="FF22272E"/>
      <name val="Calibri"/>
      <charset val="1"/>
    </font>
    <font>
      <b/>
      <sz val="15"/>
      <color rgb="FF8C1D2C"/>
      <name val="Calibri"/>
      <charset val="1"/>
    </font>
    <font>
      <sz val="9"/>
      <color rgb="FF737C88"/>
      <name val="Calibri"/>
      <charset val="1"/>
    </font>
    <font>
      <b/>
      <sz val="9.5"/>
      <color rgb="FF22272E"/>
      <name val="Calibri"/>
      <charset val="1"/>
    </font>
    <font>
      <i/>
      <sz val="8.5"/>
      <color rgb="FF737C88"/>
      <name val="Calibri"/>
      <charset val="1"/>
    </font>
    <font>
      <sz val="8.5"/>
      <color rgb="FF737C88"/>
      <name val="Calibri"/>
      <charset val="1"/>
    </font>
    <font>
      <b/>
      <sz val="10"/>
      <color rgb="FF1F4E79"/>
      <name val="Calibri"/>
      <charset val="1"/>
    </font>
    <font>
      <sz val="8.5"/>
      <color rgb="FF3B434D"/>
      <name val="Calibri"/>
      <charset val="1"/>
    </font>
    <font>
      <b/>
      <sz val="8"/>
      <color rgb="FF737C88"/>
      <name val="Calibri"/>
      <charset val="1"/>
    </font>
    <font>
      <b/>
      <sz val="8"/>
      <color rgb="FF8C1D2C"/>
      <name val="Calibri"/>
      <charset val="1"/>
    </font>
    <font>
      <b/>
      <sz val="12.5"/>
      <color rgb="FF22272E"/>
      <name val="Calibri"/>
      <charset val="1"/>
    </font>
    <font>
      <b/>
      <sz val="12.5"/>
      <color rgb="FF8C1D2C"/>
      <name val="Calibri"/>
      <charset val="1"/>
    </font>
    <font>
      <b/>
      <sz val="9"/>
      <color rgb="FFFFFFFF"/>
      <name val="Calibri"/>
      <charset val="1"/>
    </font>
    <font>
      <sz val="9.5"/>
      <color rgb="FF3B434D"/>
      <name val="Calibri"/>
      <charset val="1"/>
    </font>
    <font>
      <sz val="9.5"/>
      <color rgb="FF1F4E79"/>
      <name val="Calibri"/>
      <charset val="1"/>
    </font>
    <font>
      <b/>
      <sz val="9"/>
      <color rgb="FF737C88"/>
      <name val="Calibri"/>
      <charset val="1"/>
    </font>
    <font>
      <sz val="9.5"/>
      <color rgb="FF22272E"/>
      <name val="Calibri"/>
      <charset val="1"/>
    </font>
    <font>
      <sz val="9.5"/>
      <color rgb="FF737C88"/>
      <name val="Calibri"/>
      <charset val="1"/>
    </font>
    <font>
      <b/>
      <sz val="9.5"/>
      <color rgb="FF8C1D2C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22272E"/>
        <bgColor rgb="FF003300"/>
      </patternFill>
    </fill>
    <fill>
      <patternFill patternType="solid">
        <fgColor rgb="FFF4F5F7"/>
        <bgColor rgb="FFFAFBFC"/>
      </patternFill>
    </fill>
    <fill>
      <patternFill patternType="solid">
        <fgColor rgb="FF8C1D2C"/>
        <bgColor rgb="FF993366"/>
      </patternFill>
    </fill>
    <fill>
      <patternFill patternType="solid">
        <fgColor rgb="FFF5E6E8"/>
        <bgColor rgb="FFFAF0DC"/>
      </patternFill>
    </fill>
    <fill>
      <patternFill patternType="solid">
        <fgColor rgb="FFFAFBFC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22272E"/>
      </bottom>
      <diagonal/>
    </border>
    <border>
      <left style="medium">
        <color rgb="FF8C1D2C"/>
      </left>
      <right/>
      <top/>
      <bottom style="thin">
        <color rgb="FF22272E"/>
      </bottom>
      <diagonal/>
    </border>
    <border>
      <left/>
      <right/>
      <top/>
      <bottom style="thin">
        <color rgb="FF22272E"/>
      </bottom>
      <diagonal/>
    </border>
    <border>
      <left/>
      <right/>
      <top/>
      <bottom style="hair">
        <color rgb="FFD6DAE0"/>
      </bottom>
      <diagonal/>
    </border>
    <border>
      <left style="medium">
        <color rgb="FF8C1D2C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hair">
        <color rgb="FFD6DAE0"/>
      </right>
      <top/>
      <bottom style="hair">
        <color rgb="FFD6DAE0"/>
      </bottom>
      <diagonal/>
    </border>
    <border>
      <left/>
      <right/>
      <top style="double">
        <color rgb="FF22272E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166" fontId="11" fillId="3" borderId="0" xfId="0" applyNumberFormat="1" applyFont="1" applyFill="1" applyAlignment="1">
      <alignment horizontal="left" vertical="top" indent="1"/>
    </xf>
    <xf numFmtId="167" fontId="11" fillId="3" borderId="0" xfId="0" applyNumberFormat="1" applyFont="1" applyFill="1" applyAlignment="1">
      <alignment horizontal="left" vertical="top" indent="1"/>
    </xf>
    <xf numFmtId="166" fontId="12" fillId="5" borderId="0" xfId="0" applyNumberFormat="1" applyFont="1" applyFill="1" applyAlignment="1">
      <alignment horizontal="left" vertical="top" indent="1"/>
    </xf>
    <xf numFmtId="165" fontId="11" fillId="3" borderId="0" xfId="0" applyNumberFormat="1" applyFont="1" applyFill="1" applyAlignment="1">
      <alignment horizontal="left" vertical="top" indent="1"/>
    </xf>
    <xf numFmtId="0" fontId="10" fillId="5" borderId="0" xfId="0" applyFont="1" applyFill="1" applyAlignment="1">
      <alignment indent="1"/>
    </xf>
    <xf numFmtId="0" fontId="9" fillId="3" borderId="0" xfId="0" applyFont="1" applyFill="1" applyAlignment="1">
      <alignment indent="1"/>
    </xf>
    <xf numFmtId="0" fontId="8" fillId="3" borderId="5" xfId="0" applyFont="1" applyFill="1" applyBorder="1" applyAlignment="1">
      <alignment vertical="center" wrapText="1" indent="1"/>
    </xf>
    <xf numFmtId="164" fontId="7" fillId="0" borderId="4" xfId="0" applyNumberFormat="1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0" fillId="0" borderId="1" xfId="0" applyBorder="1"/>
    <xf numFmtId="0" fontId="4" fillId="0" borderId="2" xfId="0" applyFont="1" applyBorder="1" applyAlignment="1">
      <alignment vertical="center" indent="1"/>
    </xf>
    <xf numFmtId="0" fontId="0" fillId="0" borderId="3" xfId="0" applyBorder="1"/>
    <xf numFmtId="0" fontId="5" fillId="0" borderId="3" xfId="0" applyFont="1" applyBorder="1" applyAlignment="1">
      <alignment horizontal="right" vertical="center"/>
    </xf>
    <xf numFmtId="0" fontId="0" fillId="4" borderId="0" xfId="0" applyFill="1"/>
    <xf numFmtId="0" fontId="9" fillId="3" borderId="0" xfId="0" applyFont="1" applyFill="1" applyAlignment="1">
      <alignment indent="1"/>
    </xf>
    <xf numFmtId="165" fontId="11" fillId="3" borderId="0" xfId="0" applyNumberFormat="1" applyFont="1" applyFill="1" applyAlignment="1">
      <alignment horizontal="left" vertical="top" indent="1"/>
    </xf>
    <xf numFmtId="0" fontId="13" fillId="2" borderId="6" xfId="0" applyFont="1" applyFill="1" applyBorder="1" applyAlignment="1">
      <alignment horizontal="left" vertical="center" wrapText="1" indent="1"/>
    </xf>
    <xf numFmtId="0" fontId="13" fillId="2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164" fontId="15" fillId="0" borderId="7" xfId="0" applyNumberFormat="1" applyFont="1" applyBorder="1" applyAlignment="1">
      <alignment horizontal="center"/>
    </xf>
    <xf numFmtId="0" fontId="15" fillId="0" borderId="7" xfId="0" applyFont="1" applyBorder="1"/>
    <xf numFmtId="0" fontId="15" fillId="0" borderId="7" xfId="0" applyFont="1" applyBorder="1" applyAlignment="1">
      <alignment horizontal="center"/>
    </xf>
    <xf numFmtId="168" fontId="15" fillId="0" borderId="7" xfId="0" applyNumberFormat="1" applyFont="1" applyBorder="1" applyAlignment="1">
      <alignment horizontal="right" indent="1"/>
    </xf>
    <xf numFmtId="169" fontId="15" fillId="0" borderId="7" xfId="0" applyNumberFormat="1" applyFont="1" applyBorder="1" applyAlignment="1">
      <alignment horizontal="center"/>
    </xf>
    <xf numFmtId="165" fontId="14" fillId="0" borderId="7" xfId="0" applyNumberFormat="1" applyFont="1" applyBorder="1" applyAlignment="1">
      <alignment horizontal="right" indent="1"/>
    </xf>
    <xf numFmtId="168" fontId="4" fillId="0" borderId="7" xfId="0" applyNumberFormat="1" applyFont="1" applyBorder="1" applyAlignment="1">
      <alignment horizontal="right" indent="1"/>
    </xf>
    <xf numFmtId="165" fontId="15" fillId="0" borderId="7" xfId="0" applyNumberFormat="1" applyFont="1" applyBorder="1" applyAlignment="1">
      <alignment horizontal="right" indent="1"/>
    </xf>
    <xf numFmtId="0" fontId="14" fillId="6" borderId="7" xfId="0" applyFont="1" applyFill="1" applyBorder="1" applyAlignment="1">
      <alignment horizontal="center"/>
    </xf>
    <xf numFmtId="164" fontId="15" fillId="6" borderId="7" xfId="0" applyNumberFormat="1" applyFont="1" applyFill="1" applyBorder="1" applyAlignment="1">
      <alignment horizontal="center"/>
    </xf>
    <xf numFmtId="0" fontId="15" fillId="6" borderId="7" xfId="0" applyFont="1" applyFill="1" applyBorder="1"/>
    <xf numFmtId="0" fontId="15" fillId="6" borderId="7" xfId="0" applyFont="1" applyFill="1" applyBorder="1" applyAlignment="1">
      <alignment horizontal="center"/>
    </xf>
    <xf numFmtId="168" fontId="15" fillId="6" borderId="7" xfId="0" applyNumberFormat="1" applyFont="1" applyFill="1" applyBorder="1" applyAlignment="1">
      <alignment horizontal="right" indent="1"/>
    </xf>
    <xf numFmtId="169" fontId="15" fillId="6" borderId="7" xfId="0" applyNumberFormat="1" applyFont="1" applyFill="1" applyBorder="1" applyAlignment="1">
      <alignment horizontal="center"/>
    </xf>
    <xf numFmtId="165" fontId="14" fillId="6" borderId="7" xfId="0" applyNumberFormat="1" applyFont="1" applyFill="1" applyBorder="1" applyAlignment="1">
      <alignment horizontal="right" indent="1"/>
    </xf>
    <xf numFmtId="168" fontId="4" fillId="6" borderId="7" xfId="0" applyNumberFormat="1" applyFont="1" applyFill="1" applyBorder="1" applyAlignment="1">
      <alignment horizontal="right" indent="1"/>
    </xf>
    <xf numFmtId="165" fontId="15" fillId="6" borderId="7" xfId="0" applyNumberFormat="1" applyFont="1" applyFill="1" applyBorder="1" applyAlignment="1">
      <alignment horizontal="right" indent="1"/>
    </xf>
    <xf numFmtId="0" fontId="4" fillId="0" borderId="8" xfId="0" applyFont="1" applyBorder="1" applyAlignment="1">
      <alignment vertical="center" indent="1"/>
    </xf>
    <xf numFmtId="165" fontId="4" fillId="0" borderId="8" xfId="0" applyNumberFormat="1" applyFont="1" applyBorder="1" applyAlignment="1">
      <alignment horizontal="right" indent="1"/>
    </xf>
    <xf numFmtId="0" fontId="4" fillId="0" borderId="8" xfId="0" applyFont="1" applyBorder="1"/>
    <xf numFmtId="0" fontId="16" fillId="0" borderId="8" xfId="0" applyFont="1" applyBorder="1" applyAlignment="1">
      <alignment horizontal="center"/>
    </xf>
    <xf numFmtId="0" fontId="17" fillId="0" borderId="4" xfId="0" applyFont="1" applyBorder="1" applyAlignment="1">
      <alignment horizontal="left" vertical="center" indent="1"/>
    </xf>
    <xf numFmtId="165" fontId="14" fillId="0" borderId="4" xfId="0" applyNumberFormat="1" applyFont="1" applyBorder="1" applyAlignment="1">
      <alignment horizontal="right" vertical="center"/>
    </xf>
    <xf numFmtId="166" fontId="14" fillId="0" borderId="4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167" fontId="18" fillId="0" borderId="4" xfId="0" applyNumberFormat="1" applyFont="1" applyBorder="1" applyAlignment="1">
      <alignment horizontal="right" vertical="center"/>
    </xf>
    <xf numFmtId="0" fontId="17" fillId="6" borderId="4" xfId="0" applyFont="1" applyFill="1" applyBorder="1" applyAlignment="1">
      <alignment horizontal="left" vertical="center" indent="1"/>
    </xf>
    <xf numFmtId="165" fontId="14" fillId="6" borderId="4" xfId="0" applyNumberFormat="1" applyFont="1" applyFill="1" applyBorder="1" applyAlignment="1">
      <alignment horizontal="right" vertical="center"/>
    </xf>
    <xf numFmtId="166" fontId="14" fillId="6" borderId="4" xfId="0" applyNumberFormat="1" applyFont="1" applyFill="1" applyBorder="1" applyAlignment="1">
      <alignment horizontal="right" vertical="center"/>
    </xf>
    <xf numFmtId="166" fontId="4" fillId="6" borderId="4" xfId="0" applyNumberFormat="1" applyFont="1" applyFill="1" applyBorder="1" applyAlignment="1">
      <alignment horizontal="right" vertical="center"/>
    </xf>
    <xf numFmtId="167" fontId="18" fillId="6" borderId="4" xfId="0" applyNumberFormat="1" applyFont="1" applyFill="1" applyBorder="1" applyAlignment="1">
      <alignment horizontal="right" vertical="center"/>
    </xf>
    <xf numFmtId="165" fontId="4" fillId="0" borderId="8" xfId="0" applyNumberFormat="1" applyFont="1" applyBorder="1" applyAlignment="1">
      <alignment horizontal="right"/>
    </xf>
    <xf numFmtId="167" fontId="4" fillId="0" borderId="8" xfId="0" applyNumberFormat="1" applyFont="1" applyBorder="1" applyAlignment="1">
      <alignment horizontal="right"/>
    </xf>
    <xf numFmtId="169" fontId="17" fillId="0" borderId="4" xfId="0" applyNumberFormat="1" applyFont="1" applyBorder="1" applyAlignment="1">
      <alignment horizontal="left" vertical="center" indent="1"/>
    </xf>
    <xf numFmtId="169" fontId="17" fillId="6" borderId="4" xfId="0" applyNumberFormat="1" applyFont="1" applyFill="1" applyBorder="1" applyAlignment="1">
      <alignment horizontal="left" vertical="center" indent="1"/>
    </xf>
    <xf numFmtId="170" fontId="1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right" vertical="center"/>
    </xf>
    <xf numFmtId="170" fontId="14" fillId="6" borderId="4" xfId="0" applyNumberFormat="1" applyFont="1" applyFill="1" applyBorder="1" applyAlignment="1">
      <alignment horizontal="center" vertical="center"/>
    </xf>
    <xf numFmtId="165" fontId="4" fillId="6" borderId="4" xfId="0" applyNumberFormat="1" applyFont="1" applyFill="1" applyBorder="1" applyAlignment="1">
      <alignment horizontal="right" vertical="center"/>
    </xf>
    <xf numFmtId="0" fontId="19" fillId="5" borderId="4" xfId="0" applyFont="1" applyFill="1" applyBorder="1" applyAlignment="1">
      <alignment horizontal="left" vertical="center" indent="1"/>
    </xf>
    <xf numFmtId="170" fontId="19" fillId="5" borderId="4" xfId="0" applyNumberFormat="1" applyFont="1" applyFill="1" applyBorder="1" applyAlignment="1">
      <alignment horizontal="center" vertical="center"/>
    </xf>
    <xf numFmtId="165" fontId="19" fillId="5" borderId="4" xfId="0" applyNumberFormat="1" applyFont="1" applyFill="1" applyBorder="1" applyAlignment="1">
      <alignment horizontal="right" vertical="center"/>
    </xf>
    <xf numFmtId="167" fontId="19" fillId="5" borderId="4" xfId="0" applyNumberFormat="1" applyFont="1" applyFill="1" applyBorder="1" applyAlignment="1">
      <alignment horizontal="right" vertical="center"/>
    </xf>
    <xf numFmtId="170" fontId="4" fillId="0" borderId="8" xfId="0" applyNumberFormat="1" applyFont="1" applyBorder="1" applyAlignment="1">
      <alignment horizontal="center"/>
    </xf>
    <xf numFmtId="0" fontId="15" fillId="0" borderId="4" xfId="0" applyFont="1" applyBorder="1" applyAlignment="1">
      <alignment vertical="center" indent="1"/>
    </xf>
    <xf numFmtId="169" fontId="15" fillId="0" borderId="4" xfId="0" applyNumberFormat="1" applyFont="1" applyBorder="1" applyAlignment="1">
      <alignment vertical="center" indent="1"/>
    </xf>
    <xf numFmtId="0" fontId="15" fillId="6" borderId="4" xfId="0" applyFont="1" applyFill="1" applyBorder="1" applyAlignment="1">
      <alignment vertical="center" indent="1"/>
    </xf>
    <xf numFmtId="169" fontId="15" fillId="6" borderId="4" xfId="0" applyNumberFormat="1" applyFont="1" applyFill="1" applyBorder="1" applyAlignment="1">
      <alignment vertical="center" indent="1"/>
    </xf>
    <xf numFmtId="165" fontId="12" fillId="5" borderId="0" xfId="0" applyNumberFormat="1" applyFont="1" applyFill="1" applyAlignment="1">
      <alignment horizontal="left" vertical="top" indent="1"/>
    </xf>
    <xf numFmtId="0" fontId="4" fillId="0" borderId="8" xfId="0" applyFont="1" applyBorder="1" applyAlignment="1">
      <alignment vertical="center" indent="1"/>
    </xf>
    <xf numFmtId="0" fontId="6" fillId="0" borderId="0" xfId="0" applyFont="1" applyAlignment="1">
      <alignment vertical="center" indent="1"/>
    </xf>
    <xf numFmtId="0" fontId="5" fillId="0" borderId="0" xfId="0" applyFont="1" applyAlignment="1">
      <alignment indent="1"/>
    </xf>
    <xf numFmtId="0" fontId="5" fillId="0" borderId="0" xfId="0" applyFont="1" applyAlignment="1">
      <alignment vertical="center" indent="1"/>
    </xf>
    <xf numFmtId="0" fontId="5" fillId="0" borderId="0" xfId="0" applyFont="1" applyAlignment="1">
      <alignment vertical="center" wrapText="1" inden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7">
    <dxf>
      <font>
        <sz val="9"/>
        <color rgb="FF8C1D2C"/>
        <name val="Calibri"/>
        <charset val="1"/>
      </font>
    </dxf>
    <dxf>
      <font>
        <b/>
        <sz val="9"/>
        <color rgb="FF8C1D2C"/>
        <name val="Calibri"/>
        <charset val="1"/>
      </font>
      <fill>
        <patternFill>
          <bgColor rgb="FFEDD3D6"/>
        </patternFill>
      </fill>
    </dxf>
    <dxf>
      <font>
        <b/>
        <sz val="9"/>
        <color rgb="FF8A5A12"/>
        <name val="Calibri"/>
        <charset val="1"/>
      </font>
      <fill>
        <patternFill>
          <bgColor rgb="FFFAF0DC"/>
        </patternFill>
      </fill>
    </dxf>
    <dxf>
      <font>
        <b/>
        <sz val="9"/>
        <color rgb="FF3B434D"/>
        <name val="Calibri"/>
        <charset val="1"/>
      </font>
      <fill>
        <patternFill>
          <bgColor rgb="FFF4F5F7"/>
        </patternFill>
      </fill>
    </dxf>
    <dxf>
      <font>
        <b/>
        <sz val="9"/>
        <color rgb="FF8C1D2C"/>
        <name val="Calibri"/>
        <charset val="1"/>
      </font>
    </dxf>
    <dxf>
      <font>
        <sz val="9"/>
        <color rgb="FF8C1D2C"/>
        <name val="Calibri"/>
        <charset val="1"/>
      </font>
    </dxf>
    <dxf>
      <fill>
        <patternFill>
          <bgColor rgb="FFF5E6E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2"/>
      <rgbColor rgb="FF800080"/>
      <rgbColor rgb="FF008080"/>
      <rgbColor rgb="FFD9D9D9"/>
      <rgbColor rgb="FF878787"/>
      <rgbColor rgb="FF9999FF"/>
      <rgbColor rgb="FF993366"/>
      <rgbColor rgb="FFFAF0DC"/>
      <rgbColor rgb="FFF4F5F7"/>
      <rgbColor rgb="FF660066"/>
      <rgbColor rgb="FFFF8080"/>
      <rgbColor rgb="FF0066CC"/>
      <rgbColor rgb="FFD6DA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BFC"/>
      <rgbColor rgb="FFF5E6E8"/>
      <rgbColor rgb="FFFFFF99"/>
      <rgbColor rgb="FF99CCFF"/>
      <rgbColor rgb="FFFF99CC"/>
      <rgbColor rgb="FFCC99FF"/>
      <rgbColor rgb="FFEDD3D6"/>
      <rgbColor rgb="FF3366FF"/>
      <rgbColor rgb="FF33CCCC"/>
      <rgbColor rgb="FF99CC00"/>
      <rgbColor rgb="FFFFCC00"/>
      <rgbColor rgb="FFFF9900"/>
      <rgbColor rgb="FFFF6600"/>
      <rgbColor rgb="FF737C88"/>
      <rgbColor rgb="FF969696"/>
      <rgbColor rgb="FF003366"/>
      <rgbColor rgb="FF339966"/>
      <rgbColor rgb="FF003300"/>
      <rgbColor rgb="FF3B434D"/>
      <rgbColor rgb="FF8C1D2C"/>
      <rgbColor rgb="FF993366"/>
      <rgbColor rgb="FF1F4E79"/>
      <rgbColor rgb="FF2227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Kumuliertes Ergebnis im Jahresverlauf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Auswertung!$F$9</c:f>
              <c:strCache>
                <c:ptCount val="1"/>
                <c:pt idx="0">
                  <c:v>Kumuliert €</c:v>
                </c:pt>
              </c:strCache>
            </c:strRef>
          </c:tx>
          <c:spPr>
            <a:ln w="21960">
              <a:solidFill>
                <a:srgbClr val="8C1D2C"/>
              </a:solidFill>
              <a:round/>
            </a:ln>
          </c:spPr>
          <c:marker>
            <c:symbol val="circle"/>
            <c:size val="6"/>
            <c:spPr>
              <a:solidFill>
                <a:srgbClr val="8C1D2C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Auswertung!$B$10:$B$21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Auswertung!$F$10:$F$21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7-49CB-A462-E96FA3724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6644993"/>
        <c:axId val="78785540"/>
      </c:lineChart>
      <c:catAx>
        <c:axId val="2664499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8785540"/>
        <c:crosses val="autoZero"/>
        <c:auto val="1"/>
        <c:lblAlgn val="ctr"/>
        <c:lblOffset val="100"/>
        <c:noMultiLvlLbl val="0"/>
      </c:catAx>
      <c:valAx>
        <c:axId val="787855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664499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Einnahmen und Ausgaben je Kostenstelle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Auswertung!$I$32</c:f>
              <c:strCache>
                <c:ptCount val="1"/>
                <c:pt idx="0">
                  <c:v>Einnahmen €</c:v>
                </c:pt>
              </c:strCache>
            </c:strRef>
          </c:tx>
          <c:spPr>
            <a:solidFill>
              <a:srgbClr val="3B434D"/>
            </a:solidFill>
            <a:ln w="0">
              <a:solidFill>
                <a:srgbClr val="3B434D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Auswertung!$H$33:$H$37</c:f>
              <c:strCache>
                <c:ptCount val="5"/>
                <c:pt idx="0">
                  <c:v>KST 100 Vertrieb</c:v>
                </c:pt>
                <c:pt idx="1">
                  <c:v>KST 200 Verwaltung</c:v>
                </c:pt>
                <c:pt idx="2">
                  <c:v>KST 300 Leistung</c:v>
                </c:pt>
                <c:pt idx="3">
                  <c:v>KST 400 Marketing</c:v>
                </c:pt>
                <c:pt idx="4">
                  <c:v>KST 500 IT</c:v>
                </c:pt>
              </c:strCache>
            </c:strRef>
          </c:cat>
          <c:val>
            <c:numRef>
              <c:f>Auswertung!$I$33:$I$37</c:f>
              <c:numCache>
                <c:formatCode>#,##0.00" €";\-#,##0.00" €";\–</c:formatCode>
                <c:ptCount val="5"/>
                <c:pt idx="0">
                  <c:v>17900</c:v>
                </c:pt>
                <c:pt idx="1">
                  <c:v>480</c:v>
                </c:pt>
                <c:pt idx="2">
                  <c:v>23180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EE-4BAB-8D1B-E951B4507689}"/>
            </c:ext>
          </c:extLst>
        </c:ser>
        <c:ser>
          <c:idx val="1"/>
          <c:order val="1"/>
          <c:tx>
            <c:strRef>
              <c:f>Auswertung!$J$32</c:f>
              <c:strCache>
                <c:ptCount val="1"/>
                <c:pt idx="0">
                  <c:v>Ausgaben €</c:v>
                </c:pt>
              </c:strCache>
            </c:strRef>
          </c:tx>
          <c:spPr>
            <a:solidFill>
              <a:srgbClr val="8C1D2C"/>
            </a:solidFill>
            <a:ln w="0">
              <a:solidFill>
                <a:srgbClr val="8C1D2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Auswertung!$H$33:$H$37</c:f>
              <c:strCache>
                <c:ptCount val="5"/>
                <c:pt idx="0">
                  <c:v>KST 100 Vertrieb</c:v>
                </c:pt>
                <c:pt idx="1">
                  <c:v>KST 200 Verwaltung</c:v>
                </c:pt>
                <c:pt idx="2">
                  <c:v>KST 300 Leistung</c:v>
                </c:pt>
                <c:pt idx="3">
                  <c:v>KST 400 Marketing</c:v>
                </c:pt>
                <c:pt idx="4">
                  <c:v>KST 500 IT</c:v>
                </c:pt>
              </c:strCache>
            </c:strRef>
          </c:cat>
          <c:val>
            <c:numRef>
              <c:f>Auswertung!$J$33:$J$37</c:f>
              <c:numCache>
                <c:formatCode>#,##0.00" €";\-#,##0.00" €";\–</c:formatCode>
                <c:ptCount val="5"/>
                <c:pt idx="0">
                  <c:v>5868.6</c:v>
                </c:pt>
                <c:pt idx="1">
                  <c:v>7457.5</c:v>
                </c:pt>
                <c:pt idx="2">
                  <c:v>0</c:v>
                </c:pt>
                <c:pt idx="3">
                  <c:v>2870</c:v>
                </c:pt>
                <c:pt idx="4">
                  <c:v>1780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E-4BAB-8D1B-E951B4507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12"/>
        <c:axId val="45022890"/>
        <c:axId val="66051645"/>
      </c:barChart>
      <c:catAx>
        <c:axId val="4502289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6051645"/>
        <c:crosses val="autoZero"/>
        <c:auto val="1"/>
        <c:lblAlgn val="ctr"/>
        <c:lblOffset val="100"/>
        <c:noMultiLvlLbl val="0"/>
      </c:catAx>
      <c:valAx>
        <c:axId val="660516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502289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6</xdr:col>
      <xdr:colOff>11880</xdr:colOff>
      <xdr:row>58</xdr:row>
      <xdr:rowOff>68760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44</xdr:row>
      <xdr:rowOff>0</xdr:rowOff>
    </xdr:from>
    <xdr:to>
      <xdr:col>11</xdr:col>
      <xdr:colOff>893160</xdr:colOff>
      <xdr:row>58</xdr:row>
      <xdr:rowOff>68760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2272E"/>
    <pageSetUpPr fitToPage="1"/>
  </sheetPr>
  <dimension ref="B1:R128"/>
  <sheetViews>
    <sheetView showGridLines="0" tabSelected="1" zoomScaleNormal="100" workbookViewId="0">
      <pane xSplit="2" ySplit="19" topLeftCell="C20" activePane="bottomRight" state="frozen"/>
      <selection pane="topRight" activeCell="C1" sqref="C1"/>
      <selection pane="bottomLeft" activeCell="A20" sqref="A20"/>
      <selection pane="bottomRight" activeCell="I66" sqref="I66"/>
    </sheetView>
  </sheetViews>
  <sheetFormatPr baseColWidth="10" defaultColWidth="8.7109375" defaultRowHeight="15" x14ac:dyDescent="0.25"/>
  <cols>
    <col min="1" max="1" width="2" customWidth="1"/>
    <col min="2" max="2" width="5.5703125" customWidth="1"/>
    <col min="3" max="3" width="11.42578125" customWidth="1"/>
    <col min="4" max="4" width="13.42578125" customWidth="1"/>
    <col min="5" max="5" width="28" customWidth="1"/>
    <col min="6" max="6" width="24" customWidth="1"/>
    <col min="7" max="7" width="15" customWidth="1"/>
    <col min="8" max="8" width="21" customWidth="1"/>
    <col min="9" max="9" width="11" customWidth="1"/>
    <col min="10" max="10" width="13" customWidth="1"/>
    <col min="11" max="11" width="9.5703125" customWidth="1"/>
    <col min="12" max="12" width="12.42578125" customWidth="1"/>
    <col min="13" max="13" width="14.5703125" customWidth="1"/>
    <col min="14" max="14" width="14" customWidth="1"/>
    <col min="15" max="15" width="12" customWidth="1"/>
    <col min="16" max="16" width="13" customWidth="1"/>
    <col min="17" max="17" width="12.42578125" customWidth="1"/>
    <col min="18" max="18" width="13" customWidth="1"/>
    <col min="19" max="19" width="2" customWidth="1"/>
  </cols>
  <sheetData>
    <row r="1" spans="2:18" ht="4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ht="6.75" customHeight="1" x14ac:dyDescent="0.25"/>
    <row r="3" spans="2:18" ht="22.5" customHeight="1" x14ac:dyDescent="0.25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80" t="s">
        <v>1</v>
      </c>
      <c r="L3" s="80"/>
      <c r="M3" s="80"/>
      <c r="N3" s="80"/>
      <c r="O3" s="80"/>
      <c r="P3" s="80"/>
      <c r="Q3" s="80"/>
      <c r="R3" s="80"/>
    </row>
    <row r="4" spans="2:18" ht="13.5" customHeight="1" x14ac:dyDescent="0.25"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1" t="s">
        <v>3</v>
      </c>
      <c r="L4" s="11"/>
      <c r="M4" s="11"/>
      <c r="N4" s="11"/>
      <c r="O4" s="11"/>
      <c r="P4" s="11"/>
      <c r="Q4" s="11"/>
      <c r="R4" s="11"/>
    </row>
    <row r="5" spans="2:18" ht="13.5" customHeight="1" x14ac:dyDescent="0.25"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1" t="str">
        <f ca="1">"Stand "&amp;RIGHT("0"&amp;DAY(TODAY()),2)&amp;"."&amp;RIGHT("0"&amp;MONTH(TODAY()),2)&amp;"."&amp;YEAR(TODAY())&amp;"  ·  Alle Beträge in Euro"</f>
        <v>Stand 21.08.2026  ·  Alle Beträge in Euro</v>
      </c>
      <c r="L5" s="11"/>
      <c r="M5" s="11"/>
      <c r="N5" s="11"/>
      <c r="O5" s="11"/>
      <c r="P5" s="11"/>
      <c r="Q5" s="11"/>
      <c r="R5" s="11"/>
    </row>
    <row r="6" spans="2:18" ht="4.5" customHeigh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2:18" ht="7.5" customHeight="1" x14ac:dyDescent="0.25"/>
    <row r="8" spans="2:18" ht="18" customHeight="1" x14ac:dyDescent="0.25">
      <c r="B8" s="17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 t="s">
        <v>6</v>
      </c>
    </row>
    <row r="9" spans="2:18" ht="15.75" customHeight="1" x14ac:dyDescent="0.25">
      <c r="B9" s="10" t="s">
        <v>7</v>
      </c>
      <c r="C9" s="10"/>
      <c r="D9" s="10"/>
      <c r="E9" s="9" t="s">
        <v>8</v>
      </c>
      <c r="F9" s="9"/>
      <c r="G9" s="10" t="s">
        <v>9</v>
      </c>
      <c r="H9" s="10"/>
      <c r="I9" s="10"/>
      <c r="J9" s="8">
        <v>46255</v>
      </c>
      <c r="K9" s="8"/>
      <c r="L9" s="8"/>
      <c r="M9" s="7" t="s">
        <v>10</v>
      </c>
      <c r="N9" s="7"/>
      <c r="O9" s="7"/>
      <c r="P9" s="7"/>
      <c r="Q9" s="7"/>
      <c r="R9" s="7"/>
    </row>
    <row r="10" spans="2:18" ht="15.75" customHeight="1" x14ac:dyDescent="0.25">
      <c r="B10" s="10" t="s">
        <v>11</v>
      </c>
      <c r="C10" s="10"/>
      <c r="D10" s="10"/>
      <c r="E10" s="8">
        <v>46023</v>
      </c>
      <c r="F10" s="8"/>
      <c r="G10" s="10" t="s">
        <v>12</v>
      </c>
      <c r="H10" s="10"/>
      <c r="I10" s="10"/>
      <c r="J10" s="9" t="s">
        <v>13</v>
      </c>
      <c r="K10" s="9"/>
      <c r="L10" s="9"/>
      <c r="M10" s="7"/>
      <c r="N10" s="7"/>
      <c r="O10" s="7"/>
      <c r="P10" s="7"/>
      <c r="Q10" s="7"/>
      <c r="R10" s="7"/>
    </row>
    <row r="11" spans="2:18" ht="15.75" customHeight="1" x14ac:dyDescent="0.25">
      <c r="B11" s="10" t="s">
        <v>14</v>
      </c>
      <c r="C11" s="10"/>
      <c r="D11" s="10"/>
      <c r="E11" s="8">
        <v>46387</v>
      </c>
      <c r="F11" s="8"/>
      <c r="G11" s="10" t="s">
        <v>15</v>
      </c>
      <c r="H11" s="10"/>
      <c r="I11" s="10"/>
      <c r="J11" s="9" t="s">
        <v>16</v>
      </c>
      <c r="K11" s="9"/>
      <c r="L11" s="9"/>
      <c r="M11" s="7"/>
      <c r="N11" s="7"/>
      <c r="O11" s="7"/>
      <c r="P11" s="7"/>
      <c r="Q11" s="7"/>
      <c r="R11" s="7"/>
    </row>
    <row r="12" spans="2:18" ht="9" customHeight="1" x14ac:dyDescent="0.25"/>
    <row r="13" spans="2:18" ht="18" customHeight="1" x14ac:dyDescent="0.25">
      <c r="B13" s="17" t="s">
        <v>17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 t="s">
        <v>18</v>
      </c>
    </row>
    <row r="14" spans="2:18" ht="3" customHeight="1" x14ac:dyDescent="0.25">
      <c r="B14" s="15"/>
      <c r="C14" s="15"/>
      <c r="D14" s="15"/>
      <c r="E14" s="15"/>
      <c r="F14" s="20"/>
      <c r="G14" s="20"/>
      <c r="H14" s="15"/>
      <c r="I14" s="15"/>
      <c r="J14" s="15"/>
      <c r="K14" s="15"/>
      <c r="L14" s="15"/>
      <c r="M14" s="15"/>
      <c r="N14" s="15"/>
      <c r="O14" s="15"/>
      <c r="P14" s="15"/>
      <c r="Q14" s="20"/>
      <c r="R14" s="20"/>
    </row>
    <row r="15" spans="2:18" ht="13.5" customHeight="1" x14ac:dyDescent="0.25">
      <c r="B15" s="6" t="s">
        <v>19</v>
      </c>
      <c r="C15" s="6"/>
      <c r="D15" s="6"/>
      <c r="E15" s="21" t="s">
        <v>20</v>
      </c>
      <c r="F15" s="5" t="s">
        <v>21</v>
      </c>
      <c r="G15" s="5"/>
      <c r="H15" s="6" t="s">
        <v>22</v>
      </c>
      <c r="I15" s="6"/>
      <c r="J15" s="6" t="s">
        <v>23</v>
      </c>
      <c r="K15" s="6"/>
      <c r="L15" s="6"/>
      <c r="M15" s="6" t="s">
        <v>24</v>
      </c>
      <c r="N15" s="6"/>
      <c r="O15" s="6" t="s">
        <v>25</v>
      </c>
      <c r="P15" s="6"/>
      <c r="Q15" s="5" t="s">
        <v>26</v>
      </c>
      <c r="R15" s="5"/>
    </row>
    <row r="16" spans="2:18" ht="21" customHeight="1" x14ac:dyDescent="0.25">
      <c r="B16" s="4">
        <f>SUMIFS($J$20:$J$119,$I$20:$I$119,"Einnahme")</f>
        <v>41560</v>
      </c>
      <c r="C16" s="4"/>
      <c r="D16" s="4"/>
      <c r="E16" s="22">
        <f>SUMIFS($J$20:$J$119,$I$20:$I$119,"Ausgabe")</f>
        <v>17976.099999999999</v>
      </c>
      <c r="F16" s="3">
        <f>SUMIFS($J$20:$J$119,$I$20:$I$119,"Einnahme")-SUMIFS($J$20:$J$119,$I$20:$I$119,"Ausgabe")</f>
        <v>23583.9</v>
      </c>
      <c r="G16" s="3"/>
      <c r="H16" s="2">
        <f>IFERROR((SUMIFS($J$20:$J$119,$I$20:$I$119,"Einnahme")-SUMIFS($J$20:$J$119,$I$20:$I$119,"Ausgabe"))/SUMIFS($J$20:$J$119,$I$20:$I$119,"Einnahme"),0)</f>
        <v>0.56746631376323386</v>
      </c>
      <c r="I16" s="2"/>
      <c r="J16" s="1">
        <f>SUMIFS($L$20:$L$119,$I$20:$I$119,"Einnahme")-SUMIFS($L$20:$L$119,$I$20:$I$119,"Ausgabe")</f>
        <v>5472.7000000000007</v>
      </c>
      <c r="K16" s="1"/>
      <c r="L16" s="1"/>
      <c r="M16" s="4">
        <f>SUMIFS($Q$20:$Q$119,$I$20:$I$119,"Einnahme")</f>
        <v>14493.2</v>
      </c>
      <c r="N16" s="4"/>
      <c r="O16" s="4">
        <f>SUMIFS($Q$20:$Q$119,$I$20:$I$119,"Ausgabe")</f>
        <v>761.6</v>
      </c>
      <c r="P16" s="4"/>
      <c r="Q16" s="74">
        <f ca="1">SUMIFS($Q$20:$Q$119,$R$20:$R$119,"Überfällig")</f>
        <v>11757.2</v>
      </c>
      <c r="R16" s="74"/>
    </row>
    <row r="17" spans="2:18" ht="9.75" customHeight="1" x14ac:dyDescent="0.25"/>
    <row r="18" spans="2:18" ht="18" customHeight="1" x14ac:dyDescent="0.25">
      <c r="B18" s="17" t="s">
        <v>27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 t="s">
        <v>28</v>
      </c>
    </row>
    <row r="19" spans="2:18" ht="27.75" customHeight="1" x14ac:dyDescent="0.25">
      <c r="B19" s="23" t="s">
        <v>29</v>
      </c>
      <c r="C19" s="24" t="s">
        <v>30</v>
      </c>
      <c r="D19" s="24" t="s">
        <v>31</v>
      </c>
      <c r="E19" s="24" t="s">
        <v>32</v>
      </c>
      <c r="F19" s="24" t="s">
        <v>33</v>
      </c>
      <c r="G19" s="24" t="s">
        <v>34</v>
      </c>
      <c r="H19" s="24" t="s">
        <v>35</v>
      </c>
      <c r="I19" s="24" t="s">
        <v>36</v>
      </c>
      <c r="J19" s="24" t="s">
        <v>37</v>
      </c>
      <c r="K19" s="24" t="s">
        <v>38</v>
      </c>
      <c r="L19" s="24" t="s">
        <v>39</v>
      </c>
      <c r="M19" s="24" t="s">
        <v>40</v>
      </c>
      <c r="N19" s="24" t="s">
        <v>41</v>
      </c>
      <c r="O19" s="24" t="s">
        <v>42</v>
      </c>
      <c r="P19" s="24" t="s">
        <v>43</v>
      </c>
      <c r="Q19" s="24" t="s">
        <v>44</v>
      </c>
      <c r="R19" s="24" t="s">
        <v>45</v>
      </c>
    </row>
    <row r="20" spans="2:18" ht="15" customHeight="1" x14ac:dyDescent="0.25">
      <c r="B20" s="25">
        <f>IF($C20="","",COUNT($C$20:$C20))</f>
        <v>1</v>
      </c>
      <c r="C20" s="26">
        <v>46031</v>
      </c>
      <c r="D20" s="27" t="s">
        <v>46</v>
      </c>
      <c r="E20" s="27" t="s">
        <v>47</v>
      </c>
      <c r="F20" s="27" t="s">
        <v>48</v>
      </c>
      <c r="G20" s="27" t="s">
        <v>49</v>
      </c>
      <c r="H20" s="27" t="s">
        <v>50</v>
      </c>
      <c r="I20" s="28" t="s">
        <v>51</v>
      </c>
      <c r="J20" s="29">
        <v>5200</v>
      </c>
      <c r="K20" s="30">
        <v>0.19</v>
      </c>
      <c r="L20" s="31">
        <f t="shared" ref="L20:L51" si="0">IF($J20="","",ROUND($J20*$K20,2))</f>
        <v>988</v>
      </c>
      <c r="M20" s="32">
        <f t="shared" ref="M20:M51" si="1">IF($J20="","",ROUND($J20+$L20,2))</f>
        <v>6188</v>
      </c>
      <c r="N20" s="27" t="s">
        <v>52</v>
      </c>
      <c r="O20" s="26">
        <v>46045</v>
      </c>
      <c r="P20" s="33">
        <v>6188</v>
      </c>
      <c r="Q20" s="31">
        <f t="shared" ref="Q20:Q51" si="2">IF($J20="","",MAX(0,ROUND($M20-$P20,2)))</f>
        <v>0</v>
      </c>
      <c r="R20" s="25" t="str">
        <f t="shared" ref="R20:R51" ca="1" si="3">IF($J20="","",IF($P20&gt;=$M20,"Bezahlt",IF($P20&gt;0,"Teilzahlung",IF(AND($O20&lt;&gt;"",$O20&lt;TODAY()),"Überfällig","Offen"))))</f>
        <v>Bezahlt</v>
      </c>
    </row>
    <row r="21" spans="2:18" ht="15" customHeight="1" x14ac:dyDescent="0.25">
      <c r="B21" s="34">
        <f>IF($C21="","",COUNT($C$20:$C21))</f>
        <v>2</v>
      </c>
      <c r="C21" s="35">
        <v>46034</v>
      </c>
      <c r="D21" s="36" t="s">
        <v>53</v>
      </c>
      <c r="E21" s="36" t="s">
        <v>54</v>
      </c>
      <c r="F21" s="36" t="s">
        <v>55</v>
      </c>
      <c r="G21" s="36" t="s">
        <v>56</v>
      </c>
      <c r="H21" s="36" t="s">
        <v>57</v>
      </c>
      <c r="I21" s="37" t="s">
        <v>58</v>
      </c>
      <c r="J21" s="38">
        <v>1480</v>
      </c>
      <c r="K21" s="39">
        <v>0</v>
      </c>
      <c r="L21" s="40">
        <f t="shared" si="0"/>
        <v>0</v>
      </c>
      <c r="M21" s="41">
        <f t="shared" si="1"/>
        <v>1480</v>
      </c>
      <c r="N21" s="36" t="s">
        <v>59</v>
      </c>
      <c r="O21" s="35">
        <v>46037</v>
      </c>
      <c r="P21" s="42">
        <v>1480</v>
      </c>
      <c r="Q21" s="40">
        <f t="shared" si="2"/>
        <v>0</v>
      </c>
      <c r="R21" s="34" t="str">
        <f t="shared" ca="1" si="3"/>
        <v>Bezahlt</v>
      </c>
    </row>
    <row r="22" spans="2:18" ht="15" customHeight="1" x14ac:dyDescent="0.25">
      <c r="B22" s="25">
        <f>IF($C22="","",COUNT($C$20:$C22))</f>
        <v>3</v>
      </c>
      <c r="C22" s="26">
        <v>46043</v>
      </c>
      <c r="D22" s="27" t="s">
        <v>60</v>
      </c>
      <c r="E22" s="27" t="s">
        <v>61</v>
      </c>
      <c r="F22" s="27" t="s">
        <v>62</v>
      </c>
      <c r="G22" s="27" t="s">
        <v>63</v>
      </c>
      <c r="H22" s="27" t="s">
        <v>64</v>
      </c>
      <c r="I22" s="28" t="s">
        <v>51</v>
      </c>
      <c r="J22" s="29">
        <v>3860</v>
      </c>
      <c r="K22" s="30">
        <v>0.19</v>
      </c>
      <c r="L22" s="31">
        <f t="shared" si="0"/>
        <v>733.4</v>
      </c>
      <c r="M22" s="32">
        <f t="shared" si="1"/>
        <v>4593.3999999999996</v>
      </c>
      <c r="N22" s="27" t="s">
        <v>52</v>
      </c>
      <c r="O22" s="26">
        <v>46057</v>
      </c>
      <c r="P22" s="33">
        <v>4593.3999999999996</v>
      </c>
      <c r="Q22" s="31">
        <f t="shared" si="2"/>
        <v>0</v>
      </c>
      <c r="R22" s="25" t="str">
        <f t="shared" ca="1" si="3"/>
        <v>Bezahlt</v>
      </c>
    </row>
    <row r="23" spans="2:18" ht="15" customHeight="1" x14ac:dyDescent="0.25">
      <c r="B23" s="34">
        <f>IF($C23="","",COUNT($C$20:$C23))</f>
        <v>4</v>
      </c>
      <c r="C23" s="35">
        <v>46051</v>
      </c>
      <c r="D23" s="36" t="s">
        <v>65</v>
      </c>
      <c r="E23" s="36" t="s">
        <v>66</v>
      </c>
      <c r="F23" s="36" t="s">
        <v>67</v>
      </c>
      <c r="G23" s="36" t="s">
        <v>68</v>
      </c>
      <c r="H23" s="36" t="s">
        <v>69</v>
      </c>
      <c r="I23" s="37" t="s">
        <v>58</v>
      </c>
      <c r="J23" s="38">
        <v>1140</v>
      </c>
      <c r="K23" s="39">
        <v>0.19</v>
      </c>
      <c r="L23" s="40">
        <f t="shared" si="0"/>
        <v>216.6</v>
      </c>
      <c r="M23" s="41">
        <f t="shared" si="1"/>
        <v>1356.6</v>
      </c>
      <c r="N23" s="36" t="s">
        <v>70</v>
      </c>
      <c r="O23" s="35">
        <v>46051</v>
      </c>
      <c r="P23" s="42">
        <v>1356.6</v>
      </c>
      <c r="Q23" s="40">
        <f t="shared" si="2"/>
        <v>0</v>
      </c>
      <c r="R23" s="34" t="str">
        <f t="shared" ca="1" si="3"/>
        <v>Bezahlt</v>
      </c>
    </row>
    <row r="24" spans="2:18" ht="15" customHeight="1" x14ac:dyDescent="0.25">
      <c r="B24" s="25">
        <f>IF($C24="","",COUNT($C$20:$C24))</f>
        <v>5</v>
      </c>
      <c r="C24" s="26">
        <v>46057</v>
      </c>
      <c r="D24" s="27" t="s">
        <v>71</v>
      </c>
      <c r="E24" s="27" t="s">
        <v>72</v>
      </c>
      <c r="F24" s="27" t="s">
        <v>73</v>
      </c>
      <c r="G24" s="27" t="s">
        <v>63</v>
      </c>
      <c r="H24" s="27" t="s">
        <v>74</v>
      </c>
      <c r="I24" s="28" t="s">
        <v>58</v>
      </c>
      <c r="J24" s="29">
        <v>2410</v>
      </c>
      <c r="K24" s="30">
        <v>0.19</v>
      </c>
      <c r="L24" s="31">
        <f t="shared" si="0"/>
        <v>457.9</v>
      </c>
      <c r="M24" s="32">
        <f t="shared" si="1"/>
        <v>2867.9</v>
      </c>
      <c r="N24" s="27" t="s">
        <v>52</v>
      </c>
      <c r="O24" s="26">
        <v>46071</v>
      </c>
      <c r="P24" s="33">
        <v>2867.9</v>
      </c>
      <c r="Q24" s="31">
        <f t="shared" si="2"/>
        <v>0</v>
      </c>
      <c r="R24" s="25" t="str">
        <f t="shared" ca="1" si="3"/>
        <v>Bezahlt</v>
      </c>
    </row>
    <row r="25" spans="2:18" ht="15" customHeight="1" x14ac:dyDescent="0.25">
      <c r="B25" s="34">
        <f>IF($C25="","",COUNT($C$20:$C25))</f>
        <v>6</v>
      </c>
      <c r="C25" s="35">
        <v>46063</v>
      </c>
      <c r="D25" s="36" t="s">
        <v>75</v>
      </c>
      <c r="E25" s="36" t="s">
        <v>76</v>
      </c>
      <c r="F25" s="36" t="s">
        <v>48</v>
      </c>
      <c r="G25" s="36" t="s">
        <v>49</v>
      </c>
      <c r="H25" s="36" t="s">
        <v>50</v>
      </c>
      <c r="I25" s="37" t="s">
        <v>51</v>
      </c>
      <c r="J25" s="38">
        <v>1150</v>
      </c>
      <c r="K25" s="39">
        <v>0.19</v>
      </c>
      <c r="L25" s="40">
        <f t="shared" si="0"/>
        <v>218.5</v>
      </c>
      <c r="M25" s="41">
        <f t="shared" si="1"/>
        <v>1368.5</v>
      </c>
      <c r="N25" s="36" t="s">
        <v>59</v>
      </c>
      <c r="O25" s="35">
        <v>46077</v>
      </c>
      <c r="P25" s="42">
        <v>1368.5</v>
      </c>
      <c r="Q25" s="40">
        <f t="shared" si="2"/>
        <v>0</v>
      </c>
      <c r="R25" s="34" t="str">
        <f t="shared" ca="1" si="3"/>
        <v>Bezahlt</v>
      </c>
    </row>
    <row r="26" spans="2:18" ht="15" customHeight="1" x14ac:dyDescent="0.25">
      <c r="B26" s="25">
        <f>IF($C26="","",COUNT($C$20:$C26))</f>
        <v>7</v>
      </c>
      <c r="C26" s="26">
        <v>46070</v>
      </c>
      <c r="D26" s="27" t="s">
        <v>77</v>
      </c>
      <c r="E26" s="27" t="s">
        <v>78</v>
      </c>
      <c r="F26" s="27" t="s">
        <v>79</v>
      </c>
      <c r="G26" s="27" t="s">
        <v>56</v>
      </c>
      <c r="H26" s="27" t="s">
        <v>80</v>
      </c>
      <c r="I26" s="28" t="s">
        <v>58</v>
      </c>
      <c r="J26" s="29">
        <v>3120</v>
      </c>
      <c r="K26" s="30">
        <v>0</v>
      </c>
      <c r="L26" s="31">
        <f t="shared" si="0"/>
        <v>0</v>
      </c>
      <c r="M26" s="32">
        <f t="shared" si="1"/>
        <v>3120</v>
      </c>
      <c r="N26" s="27" t="s">
        <v>52</v>
      </c>
      <c r="O26" s="26">
        <v>46080</v>
      </c>
      <c r="P26" s="33">
        <v>3120</v>
      </c>
      <c r="Q26" s="31">
        <f t="shared" si="2"/>
        <v>0</v>
      </c>
      <c r="R26" s="25" t="str">
        <f t="shared" ca="1" si="3"/>
        <v>Bezahlt</v>
      </c>
    </row>
    <row r="27" spans="2:18" ht="15" customHeight="1" x14ac:dyDescent="0.25">
      <c r="B27" s="34">
        <f>IF($C27="","",COUNT($C$20:$C27))</f>
        <v>8</v>
      </c>
      <c r="C27" s="35">
        <v>46078</v>
      </c>
      <c r="D27" s="36" t="s">
        <v>81</v>
      </c>
      <c r="E27" s="36" t="s">
        <v>82</v>
      </c>
      <c r="F27" s="36" t="s">
        <v>83</v>
      </c>
      <c r="G27" s="36" t="s">
        <v>56</v>
      </c>
      <c r="H27" s="36" t="s">
        <v>84</v>
      </c>
      <c r="I27" s="37" t="s">
        <v>58</v>
      </c>
      <c r="J27" s="38">
        <v>164</v>
      </c>
      <c r="K27" s="39">
        <v>7.0000000000000007E-2</v>
      </c>
      <c r="L27" s="40">
        <f t="shared" si="0"/>
        <v>11.48</v>
      </c>
      <c r="M27" s="41">
        <f t="shared" si="1"/>
        <v>175.48</v>
      </c>
      <c r="N27" s="36" t="s">
        <v>85</v>
      </c>
      <c r="O27" s="35">
        <v>46078</v>
      </c>
      <c r="P27" s="42">
        <v>175.48</v>
      </c>
      <c r="Q27" s="40">
        <f t="shared" si="2"/>
        <v>0</v>
      </c>
      <c r="R27" s="34" t="str">
        <f t="shared" ca="1" si="3"/>
        <v>Bezahlt</v>
      </c>
    </row>
    <row r="28" spans="2:18" ht="15" customHeight="1" x14ac:dyDescent="0.25">
      <c r="B28" s="25">
        <f>IF($C28="","",COUNT($C$20:$C28))</f>
        <v>9</v>
      </c>
      <c r="C28" s="26">
        <v>46087</v>
      </c>
      <c r="D28" s="27" t="s">
        <v>86</v>
      </c>
      <c r="E28" s="27" t="s">
        <v>87</v>
      </c>
      <c r="F28" s="27" t="s">
        <v>88</v>
      </c>
      <c r="G28" s="27" t="s">
        <v>49</v>
      </c>
      <c r="H28" s="27" t="s">
        <v>50</v>
      </c>
      <c r="I28" s="28" t="s">
        <v>51</v>
      </c>
      <c r="J28" s="29">
        <v>4980</v>
      </c>
      <c r="K28" s="30">
        <v>0.19</v>
      </c>
      <c r="L28" s="31">
        <f t="shared" si="0"/>
        <v>946.2</v>
      </c>
      <c r="M28" s="32">
        <f t="shared" si="1"/>
        <v>5926.2</v>
      </c>
      <c r="N28" s="27" t="s">
        <v>52</v>
      </c>
      <c r="O28" s="26">
        <v>46101</v>
      </c>
      <c r="P28" s="33">
        <v>5926.2</v>
      </c>
      <c r="Q28" s="31">
        <f t="shared" si="2"/>
        <v>0</v>
      </c>
      <c r="R28" s="25" t="str">
        <f t="shared" ca="1" si="3"/>
        <v>Bezahlt</v>
      </c>
    </row>
    <row r="29" spans="2:18" ht="15" customHeight="1" x14ac:dyDescent="0.25">
      <c r="B29" s="34">
        <f>IF($C29="","",COUNT($C$20:$C29))</f>
        <v>10</v>
      </c>
      <c r="C29" s="35">
        <v>46093</v>
      </c>
      <c r="D29" s="36" t="s">
        <v>89</v>
      </c>
      <c r="E29" s="36" t="s">
        <v>90</v>
      </c>
      <c r="F29" s="36" t="s">
        <v>91</v>
      </c>
      <c r="G29" s="36" t="s">
        <v>63</v>
      </c>
      <c r="H29" s="36" t="s">
        <v>92</v>
      </c>
      <c r="I29" s="37" t="s">
        <v>58</v>
      </c>
      <c r="J29" s="38">
        <v>386.2</v>
      </c>
      <c r="K29" s="39">
        <v>0.19</v>
      </c>
      <c r="L29" s="40">
        <f t="shared" si="0"/>
        <v>73.38</v>
      </c>
      <c r="M29" s="41">
        <f t="shared" si="1"/>
        <v>459.58</v>
      </c>
      <c r="N29" s="36" t="s">
        <v>70</v>
      </c>
      <c r="O29" s="35">
        <v>46093</v>
      </c>
      <c r="P29" s="42">
        <v>459.58</v>
      </c>
      <c r="Q29" s="40">
        <f t="shared" si="2"/>
        <v>0</v>
      </c>
      <c r="R29" s="34" t="str">
        <f t="shared" ca="1" si="3"/>
        <v>Bezahlt</v>
      </c>
    </row>
    <row r="30" spans="2:18" ht="15" customHeight="1" x14ac:dyDescent="0.25">
      <c r="B30" s="25">
        <f>IF($C30="","",COUNT($C$20:$C30))</f>
        <v>11</v>
      </c>
      <c r="C30" s="26">
        <v>46100</v>
      </c>
      <c r="D30" s="27" t="s">
        <v>93</v>
      </c>
      <c r="E30" s="27" t="s">
        <v>94</v>
      </c>
      <c r="F30" s="27" t="s">
        <v>95</v>
      </c>
      <c r="G30" s="27" t="s">
        <v>96</v>
      </c>
      <c r="H30" s="27" t="s">
        <v>97</v>
      </c>
      <c r="I30" s="28" t="s">
        <v>58</v>
      </c>
      <c r="J30" s="29">
        <v>1890</v>
      </c>
      <c r="K30" s="30">
        <v>0.19</v>
      </c>
      <c r="L30" s="31">
        <f t="shared" si="0"/>
        <v>359.1</v>
      </c>
      <c r="M30" s="32">
        <f t="shared" si="1"/>
        <v>2249.1</v>
      </c>
      <c r="N30" s="27" t="s">
        <v>52</v>
      </c>
      <c r="O30" s="26">
        <v>46114</v>
      </c>
      <c r="P30" s="33">
        <v>2249.1</v>
      </c>
      <c r="Q30" s="31">
        <f t="shared" si="2"/>
        <v>0</v>
      </c>
      <c r="R30" s="25" t="str">
        <f t="shared" ca="1" si="3"/>
        <v>Bezahlt</v>
      </c>
    </row>
    <row r="31" spans="2:18" ht="15" customHeight="1" x14ac:dyDescent="0.25">
      <c r="B31" s="34">
        <f>IF($C31="","",COUNT($C$20:$C31))</f>
        <v>12</v>
      </c>
      <c r="C31" s="35">
        <v>46112</v>
      </c>
      <c r="D31" s="36" t="s">
        <v>98</v>
      </c>
      <c r="E31" s="36" t="s">
        <v>99</v>
      </c>
      <c r="F31" s="36" t="s">
        <v>62</v>
      </c>
      <c r="G31" s="36" t="s">
        <v>63</v>
      </c>
      <c r="H31" s="36" t="s">
        <v>64</v>
      </c>
      <c r="I31" s="37" t="s">
        <v>51</v>
      </c>
      <c r="J31" s="38">
        <v>3240</v>
      </c>
      <c r="K31" s="39">
        <v>0.19</v>
      </c>
      <c r="L31" s="40">
        <f t="shared" si="0"/>
        <v>615.6</v>
      </c>
      <c r="M31" s="41">
        <f t="shared" si="1"/>
        <v>3855.6</v>
      </c>
      <c r="N31" s="36" t="s">
        <v>52</v>
      </c>
      <c r="O31" s="35">
        <v>46126</v>
      </c>
      <c r="P31" s="42">
        <v>3855.6</v>
      </c>
      <c r="Q31" s="40">
        <f t="shared" si="2"/>
        <v>0</v>
      </c>
      <c r="R31" s="34" t="str">
        <f t="shared" ca="1" si="3"/>
        <v>Bezahlt</v>
      </c>
    </row>
    <row r="32" spans="2:18" ht="15" customHeight="1" x14ac:dyDescent="0.25">
      <c r="B32" s="25">
        <f>IF($C32="","",COUNT($C$20:$C32))</f>
        <v>13</v>
      </c>
      <c r="C32" s="26">
        <v>46120</v>
      </c>
      <c r="D32" s="27" t="s">
        <v>100</v>
      </c>
      <c r="E32" s="27" t="s">
        <v>101</v>
      </c>
      <c r="F32" s="27" t="s">
        <v>102</v>
      </c>
      <c r="G32" s="27" t="s">
        <v>56</v>
      </c>
      <c r="H32" s="27" t="s">
        <v>103</v>
      </c>
      <c r="I32" s="28" t="s">
        <v>58</v>
      </c>
      <c r="J32" s="29">
        <v>742</v>
      </c>
      <c r="K32" s="30">
        <v>0</v>
      </c>
      <c r="L32" s="31">
        <f t="shared" si="0"/>
        <v>0</v>
      </c>
      <c r="M32" s="32">
        <f t="shared" si="1"/>
        <v>742</v>
      </c>
      <c r="N32" s="27" t="s">
        <v>59</v>
      </c>
      <c r="O32" s="26">
        <v>46120</v>
      </c>
      <c r="P32" s="33">
        <v>742</v>
      </c>
      <c r="Q32" s="31">
        <f t="shared" si="2"/>
        <v>0</v>
      </c>
      <c r="R32" s="25" t="str">
        <f t="shared" ca="1" si="3"/>
        <v>Bezahlt</v>
      </c>
    </row>
    <row r="33" spans="2:18" ht="15" customHeight="1" x14ac:dyDescent="0.25">
      <c r="B33" s="34">
        <f>IF($C33="","",COUNT($C$20:$C33))</f>
        <v>14</v>
      </c>
      <c r="C33" s="35">
        <v>46128</v>
      </c>
      <c r="D33" s="36" t="s">
        <v>104</v>
      </c>
      <c r="E33" s="36" t="s">
        <v>105</v>
      </c>
      <c r="F33" s="36" t="s">
        <v>88</v>
      </c>
      <c r="G33" s="36" t="s">
        <v>49</v>
      </c>
      <c r="H33" s="36" t="s">
        <v>50</v>
      </c>
      <c r="I33" s="37" t="s">
        <v>51</v>
      </c>
      <c r="J33" s="38">
        <v>2250</v>
      </c>
      <c r="K33" s="39">
        <v>0.19</v>
      </c>
      <c r="L33" s="40">
        <f t="shared" si="0"/>
        <v>427.5</v>
      </c>
      <c r="M33" s="41">
        <f t="shared" si="1"/>
        <v>2677.5</v>
      </c>
      <c r="N33" s="36" t="s">
        <v>52</v>
      </c>
      <c r="O33" s="35">
        <v>46142</v>
      </c>
      <c r="P33" s="42">
        <v>2677.5</v>
      </c>
      <c r="Q33" s="40">
        <f t="shared" si="2"/>
        <v>0</v>
      </c>
      <c r="R33" s="34" t="str">
        <f t="shared" ca="1" si="3"/>
        <v>Bezahlt</v>
      </c>
    </row>
    <row r="34" spans="2:18" ht="15" customHeight="1" x14ac:dyDescent="0.25">
      <c r="B34" s="25">
        <f>IF($C34="","",COUNT($C$20:$C34))</f>
        <v>15</v>
      </c>
      <c r="C34" s="26">
        <v>46139</v>
      </c>
      <c r="D34" s="27" t="s">
        <v>106</v>
      </c>
      <c r="E34" s="27" t="s">
        <v>107</v>
      </c>
      <c r="F34" s="27" t="s">
        <v>108</v>
      </c>
      <c r="G34" s="27" t="s">
        <v>56</v>
      </c>
      <c r="H34" s="27" t="s">
        <v>109</v>
      </c>
      <c r="I34" s="28" t="s">
        <v>58</v>
      </c>
      <c r="J34" s="29">
        <v>214.6</v>
      </c>
      <c r="K34" s="30">
        <v>0.19</v>
      </c>
      <c r="L34" s="31">
        <f t="shared" si="0"/>
        <v>40.770000000000003</v>
      </c>
      <c r="M34" s="32">
        <f t="shared" si="1"/>
        <v>255.37</v>
      </c>
      <c r="N34" s="27" t="s">
        <v>110</v>
      </c>
      <c r="O34" s="26">
        <v>46139</v>
      </c>
      <c r="P34" s="33">
        <v>255.37</v>
      </c>
      <c r="Q34" s="31">
        <f t="shared" si="2"/>
        <v>0</v>
      </c>
      <c r="R34" s="25" t="str">
        <f t="shared" ca="1" si="3"/>
        <v>Bezahlt</v>
      </c>
    </row>
    <row r="35" spans="2:18" ht="15" customHeight="1" x14ac:dyDescent="0.25">
      <c r="B35" s="34">
        <f>IF($C35="","",COUNT($C$20:$C35))</f>
        <v>16</v>
      </c>
      <c r="C35" s="35">
        <v>46149</v>
      </c>
      <c r="D35" s="36" t="s">
        <v>111</v>
      </c>
      <c r="E35" s="36" t="s">
        <v>112</v>
      </c>
      <c r="F35" s="36" t="s">
        <v>113</v>
      </c>
      <c r="G35" s="36" t="s">
        <v>56</v>
      </c>
      <c r="H35" s="36" t="s">
        <v>114</v>
      </c>
      <c r="I35" s="37" t="s">
        <v>58</v>
      </c>
      <c r="J35" s="38">
        <v>1680</v>
      </c>
      <c r="K35" s="39">
        <v>0.19</v>
      </c>
      <c r="L35" s="40">
        <f t="shared" si="0"/>
        <v>319.2</v>
      </c>
      <c r="M35" s="41">
        <f t="shared" si="1"/>
        <v>1999.2</v>
      </c>
      <c r="N35" s="36" t="s">
        <v>52</v>
      </c>
      <c r="O35" s="35">
        <v>46163</v>
      </c>
      <c r="P35" s="42">
        <v>1999.2</v>
      </c>
      <c r="Q35" s="40">
        <f t="shared" si="2"/>
        <v>0</v>
      </c>
      <c r="R35" s="34" t="str">
        <f t="shared" ca="1" si="3"/>
        <v>Bezahlt</v>
      </c>
    </row>
    <row r="36" spans="2:18" ht="15" customHeight="1" x14ac:dyDescent="0.25">
      <c r="B36" s="25">
        <f>IF($C36="","",COUNT($C$20:$C36))</f>
        <v>17</v>
      </c>
      <c r="C36" s="26">
        <v>46156</v>
      </c>
      <c r="D36" s="27" t="s">
        <v>115</v>
      </c>
      <c r="E36" s="27" t="s">
        <v>116</v>
      </c>
      <c r="F36" s="27" t="s">
        <v>73</v>
      </c>
      <c r="G36" s="27" t="s">
        <v>63</v>
      </c>
      <c r="H36" s="27" t="s">
        <v>64</v>
      </c>
      <c r="I36" s="28" t="s">
        <v>51</v>
      </c>
      <c r="J36" s="29">
        <v>6120</v>
      </c>
      <c r="K36" s="30">
        <v>0.19</v>
      </c>
      <c r="L36" s="31">
        <f t="shared" si="0"/>
        <v>1162.8</v>
      </c>
      <c r="M36" s="32">
        <f t="shared" si="1"/>
        <v>7282.8</v>
      </c>
      <c r="N36" s="27" t="s">
        <v>52</v>
      </c>
      <c r="O36" s="26">
        <v>46170</v>
      </c>
      <c r="P36" s="33">
        <v>7282.8</v>
      </c>
      <c r="Q36" s="31">
        <f t="shared" si="2"/>
        <v>0</v>
      </c>
      <c r="R36" s="25" t="str">
        <f t="shared" ca="1" si="3"/>
        <v>Bezahlt</v>
      </c>
    </row>
    <row r="37" spans="2:18" ht="15" customHeight="1" x14ac:dyDescent="0.25">
      <c r="B37" s="34">
        <f>IF($C37="","",COUNT($C$20:$C37))</f>
        <v>18</v>
      </c>
      <c r="C37" s="35">
        <v>46168</v>
      </c>
      <c r="D37" s="36" t="s">
        <v>117</v>
      </c>
      <c r="E37" s="36" t="s">
        <v>118</v>
      </c>
      <c r="F37" s="36" t="s">
        <v>119</v>
      </c>
      <c r="G37" s="36" t="s">
        <v>63</v>
      </c>
      <c r="H37" s="36" t="s">
        <v>120</v>
      </c>
      <c r="I37" s="37" t="s">
        <v>58</v>
      </c>
      <c r="J37" s="38">
        <v>312.39999999999998</v>
      </c>
      <c r="K37" s="39">
        <v>7.0000000000000007E-2</v>
      </c>
      <c r="L37" s="40">
        <f t="shared" si="0"/>
        <v>21.87</v>
      </c>
      <c r="M37" s="41">
        <f t="shared" si="1"/>
        <v>334.27</v>
      </c>
      <c r="N37" s="36" t="s">
        <v>70</v>
      </c>
      <c r="O37" s="35">
        <v>46168</v>
      </c>
      <c r="P37" s="42">
        <v>334.27</v>
      </c>
      <c r="Q37" s="40">
        <f t="shared" si="2"/>
        <v>0</v>
      </c>
      <c r="R37" s="34" t="str">
        <f t="shared" ca="1" si="3"/>
        <v>Bezahlt</v>
      </c>
    </row>
    <row r="38" spans="2:18" ht="15" customHeight="1" x14ac:dyDescent="0.25">
      <c r="B38" s="25">
        <f>IF($C38="","",COUNT($C$20:$C38))</f>
        <v>19</v>
      </c>
      <c r="C38" s="26">
        <v>46176</v>
      </c>
      <c r="D38" s="27" t="s">
        <v>121</v>
      </c>
      <c r="E38" s="27" t="s">
        <v>122</v>
      </c>
      <c r="F38" s="27" t="s">
        <v>102</v>
      </c>
      <c r="G38" s="27" t="s">
        <v>56</v>
      </c>
      <c r="H38" s="27" t="s">
        <v>123</v>
      </c>
      <c r="I38" s="28" t="s">
        <v>51</v>
      </c>
      <c r="J38" s="29">
        <v>480</v>
      </c>
      <c r="K38" s="30">
        <v>0</v>
      </c>
      <c r="L38" s="31">
        <f t="shared" si="0"/>
        <v>0</v>
      </c>
      <c r="M38" s="32">
        <f t="shared" si="1"/>
        <v>480</v>
      </c>
      <c r="N38" s="27" t="s">
        <v>52</v>
      </c>
      <c r="O38" s="26">
        <v>46190</v>
      </c>
      <c r="P38" s="33">
        <v>480</v>
      </c>
      <c r="Q38" s="31">
        <f t="shared" si="2"/>
        <v>0</v>
      </c>
      <c r="R38" s="25" t="str">
        <f t="shared" ca="1" si="3"/>
        <v>Bezahlt</v>
      </c>
    </row>
    <row r="39" spans="2:18" ht="15" customHeight="1" x14ac:dyDescent="0.25">
      <c r="B39" s="34">
        <f>IF($C39="","",COUNT($C$20:$C39))</f>
        <v>20</v>
      </c>
      <c r="C39" s="35">
        <v>46188</v>
      </c>
      <c r="D39" s="36" t="s">
        <v>124</v>
      </c>
      <c r="E39" s="36" t="s">
        <v>125</v>
      </c>
      <c r="F39" s="36" t="s">
        <v>73</v>
      </c>
      <c r="G39" s="36" t="s">
        <v>63</v>
      </c>
      <c r="H39" s="36" t="s">
        <v>74</v>
      </c>
      <c r="I39" s="37" t="s">
        <v>58</v>
      </c>
      <c r="J39" s="38">
        <v>2760</v>
      </c>
      <c r="K39" s="39">
        <v>0.19</v>
      </c>
      <c r="L39" s="40">
        <f t="shared" si="0"/>
        <v>524.4</v>
      </c>
      <c r="M39" s="41">
        <f t="shared" si="1"/>
        <v>3284.4</v>
      </c>
      <c r="N39" s="36" t="s">
        <v>52</v>
      </c>
      <c r="O39" s="35">
        <v>46202</v>
      </c>
      <c r="P39" s="42">
        <v>3284.4</v>
      </c>
      <c r="Q39" s="40">
        <f t="shared" si="2"/>
        <v>0</v>
      </c>
      <c r="R39" s="34" t="str">
        <f t="shared" ca="1" si="3"/>
        <v>Bezahlt</v>
      </c>
    </row>
    <row r="40" spans="2:18" ht="15" customHeight="1" x14ac:dyDescent="0.25">
      <c r="B40" s="25">
        <f>IF($C40="","",COUNT($C$20:$C40))</f>
        <v>21</v>
      </c>
      <c r="C40" s="26">
        <v>46203</v>
      </c>
      <c r="D40" s="27" t="s">
        <v>126</v>
      </c>
      <c r="E40" s="27" t="s">
        <v>127</v>
      </c>
      <c r="F40" s="27" t="s">
        <v>88</v>
      </c>
      <c r="G40" s="27" t="s">
        <v>49</v>
      </c>
      <c r="H40" s="27" t="s">
        <v>50</v>
      </c>
      <c r="I40" s="28" t="s">
        <v>51</v>
      </c>
      <c r="J40" s="29">
        <v>4400</v>
      </c>
      <c r="K40" s="30">
        <v>0.19</v>
      </c>
      <c r="L40" s="31">
        <f t="shared" si="0"/>
        <v>836</v>
      </c>
      <c r="M40" s="32">
        <f t="shared" si="1"/>
        <v>5236</v>
      </c>
      <c r="N40" s="27" t="s">
        <v>52</v>
      </c>
      <c r="O40" s="26">
        <v>46217</v>
      </c>
      <c r="P40" s="33">
        <v>2500</v>
      </c>
      <c r="Q40" s="31">
        <f t="shared" si="2"/>
        <v>2736</v>
      </c>
      <c r="R40" s="25" t="str">
        <f t="shared" ca="1" si="3"/>
        <v>Teilzahlung</v>
      </c>
    </row>
    <row r="41" spans="2:18" ht="15" customHeight="1" x14ac:dyDescent="0.25">
      <c r="B41" s="34">
        <f>IF($C41="","",COUNT($C$20:$C41))</f>
        <v>22</v>
      </c>
      <c r="C41" s="35">
        <v>46209</v>
      </c>
      <c r="D41" s="36" t="s">
        <v>128</v>
      </c>
      <c r="E41" s="36" t="s">
        <v>129</v>
      </c>
      <c r="F41" s="36" t="s">
        <v>130</v>
      </c>
      <c r="G41" s="36" t="s">
        <v>56</v>
      </c>
      <c r="H41" s="36" t="s">
        <v>131</v>
      </c>
      <c r="I41" s="37" t="s">
        <v>58</v>
      </c>
      <c r="J41" s="38">
        <v>56.9</v>
      </c>
      <c r="K41" s="39">
        <v>0</v>
      </c>
      <c r="L41" s="40">
        <f t="shared" si="0"/>
        <v>0</v>
      </c>
      <c r="M41" s="41">
        <f t="shared" si="1"/>
        <v>56.9</v>
      </c>
      <c r="N41" s="36" t="s">
        <v>59</v>
      </c>
      <c r="O41" s="35">
        <v>46209</v>
      </c>
      <c r="P41" s="42">
        <v>56.9</v>
      </c>
      <c r="Q41" s="40">
        <f t="shared" si="2"/>
        <v>0</v>
      </c>
      <c r="R41" s="34" t="str">
        <f t="shared" ca="1" si="3"/>
        <v>Bezahlt</v>
      </c>
    </row>
    <row r="42" spans="2:18" ht="15" customHeight="1" x14ac:dyDescent="0.25">
      <c r="B42" s="25">
        <f>IF($C42="","",COUNT($C$20:$C42))</f>
        <v>23</v>
      </c>
      <c r="C42" s="26">
        <v>46217</v>
      </c>
      <c r="D42" s="27" t="s">
        <v>132</v>
      </c>
      <c r="E42" s="27" t="s">
        <v>133</v>
      </c>
      <c r="F42" s="27" t="s">
        <v>48</v>
      </c>
      <c r="G42" s="27" t="s">
        <v>49</v>
      </c>
      <c r="H42" s="27" t="s">
        <v>50</v>
      </c>
      <c r="I42" s="28" t="s">
        <v>51</v>
      </c>
      <c r="J42" s="29">
        <v>5200</v>
      </c>
      <c r="K42" s="30">
        <v>0.19</v>
      </c>
      <c r="L42" s="31">
        <f t="shared" si="0"/>
        <v>988</v>
      </c>
      <c r="M42" s="32">
        <f t="shared" si="1"/>
        <v>6188</v>
      </c>
      <c r="N42" s="27" t="s">
        <v>52</v>
      </c>
      <c r="O42" s="26">
        <v>46231</v>
      </c>
      <c r="P42" s="33">
        <v>0</v>
      </c>
      <c r="Q42" s="31">
        <f t="shared" si="2"/>
        <v>6188</v>
      </c>
      <c r="R42" s="25" t="str">
        <f t="shared" ca="1" si="3"/>
        <v>Überfällig</v>
      </c>
    </row>
    <row r="43" spans="2:18" ht="15" customHeight="1" x14ac:dyDescent="0.25">
      <c r="B43" s="34">
        <f>IF($C43="","",COUNT($C$20:$C43))</f>
        <v>24</v>
      </c>
      <c r="C43" s="35">
        <v>46225</v>
      </c>
      <c r="D43" s="36" t="s">
        <v>134</v>
      </c>
      <c r="E43" s="36" t="s">
        <v>135</v>
      </c>
      <c r="F43" s="36" t="s">
        <v>95</v>
      </c>
      <c r="G43" s="36" t="s">
        <v>96</v>
      </c>
      <c r="H43" s="36" t="s">
        <v>97</v>
      </c>
      <c r="I43" s="37" t="s">
        <v>58</v>
      </c>
      <c r="J43" s="38">
        <v>980</v>
      </c>
      <c r="K43" s="39">
        <v>0.19</v>
      </c>
      <c r="L43" s="40">
        <f t="shared" si="0"/>
        <v>186.2</v>
      </c>
      <c r="M43" s="41">
        <f t="shared" si="1"/>
        <v>1166.2</v>
      </c>
      <c r="N43" s="36" t="s">
        <v>70</v>
      </c>
      <c r="O43" s="35">
        <v>46225</v>
      </c>
      <c r="P43" s="42">
        <v>1166.2</v>
      </c>
      <c r="Q43" s="40">
        <f t="shared" si="2"/>
        <v>0</v>
      </c>
      <c r="R43" s="34" t="str">
        <f t="shared" ca="1" si="3"/>
        <v>Bezahlt</v>
      </c>
    </row>
    <row r="44" spans="2:18" ht="15" customHeight="1" x14ac:dyDescent="0.25">
      <c r="B44" s="25">
        <f>IF($C44="","",COUNT($C$20:$C44))</f>
        <v>25</v>
      </c>
      <c r="C44" s="26">
        <v>46238</v>
      </c>
      <c r="D44" s="27" t="s">
        <v>136</v>
      </c>
      <c r="E44" s="27" t="s">
        <v>137</v>
      </c>
      <c r="F44" s="27" t="s">
        <v>62</v>
      </c>
      <c r="G44" s="27" t="s">
        <v>63</v>
      </c>
      <c r="H44" s="27" t="s">
        <v>64</v>
      </c>
      <c r="I44" s="28" t="s">
        <v>51</v>
      </c>
      <c r="J44" s="29">
        <v>4680</v>
      </c>
      <c r="K44" s="30">
        <v>0.19</v>
      </c>
      <c r="L44" s="31">
        <f t="shared" si="0"/>
        <v>889.2</v>
      </c>
      <c r="M44" s="32">
        <f t="shared" si="1"/>
        <v>5569.2</v>
      </c>
      <c r="N44" s="27" t="s">
        <v>52</v>
      </c>
      <c r="O44" s="26">
        <v>46252</v>
      </c>
      <c r="P44" s="33">
        <v>0</v>
      </c>
      <c r="Q44" s="31">
        <f t="shared" si="2"/>
        <v>5569.2</v>
      </c>
      <c r="R44" s="25" t="str">
        <f t="shared" ca="1" si="3"/>
        <v>Überfällig</v>
      </c>
    </row>
    <row r="45" spans="2:18" ht="15" customHeight="1" x14ac:dyDescent="0.25">
      <c r="B45" s="34">
        <f>IF($C45="","",COUNT($C$20:$C45))</f>
        <v>26</v>
      </c>
      <c r="C45" s="35">
        <v>46245</v>
      </c>
      <c r="D45" s="36" t="s">
        <v>138</v>
      </c>
      <c r="E45" s="36" t="s">
        <v>139</v>
      </c>
      <c r="F45" s="36" t="s">
        <v>67</v>
      </c>
      <c r="G45" s="36" t="s">
        <v>68</v>
      </c>
      <c r="H45" s="36" t="s">
        <v>69</v>
      </c>
      <c r="I45" s="37" t="s">
        <v>58</v>
      </c>
      <c r="J45" s="38">
        <v>640</v>
      </c>
      <c r="K45" s="39">
        <v>0.19</v>
      </c>
      <c r="L45" s="40">
        <f t="shared" si="0"/>
        <v>121.6</v>
      </c>
      <c r="M45" s="41">
        <f t="shared" si="1"/>
        <v>761.6</v>
      </c>
      <c r="N45" s="36" t="s">
        <v>59</v>
      </c>
      <c r="O45" s="35">
        <v>46259</v>
      </c>
      <c r="P45" s="42">
        <v>0</v>
      </c>
      <c r="Q45" s="40">
        <f t="shared" si="2"/>
        <v>761.6</v>
      </c>
      <c r="R45" s="34" t="str">
        <f t="shared" ca="1" si="3"/>
        <v>Offen</v>
      </c>
    </row>
    <row r="46" spans="2:18" ht="15" customHeight="1" x14ac:dyDescent="0.25">
      <c r="B46" s="25" t="str">
        <f>IF($C46="","",COUNT($C$20:$C46))</f>
        <v/>
      </c>
      <c r="C46" s="26"/>
      <c r="D46" s="27"/>
      <c r="E46" s="27"/>
      <c r="F46" s="27"/>
      <c r="G46" s="27"/>
      <c r="H46" s="27"/>
      <c r="I46" s="28"/>
      <c r="J46" s="29"/>
      <c r="K46" s="30"/>
      <c r="L46" s="31" t="str">
        <f t="shared" si="0"/>
        <v/>
      </c>
      <c r="M46" s="32" t="str">
        <f t="shared" si="1"/>
        <v/>
      </c>
      <c r="N46" s="27"/>
      <c r="O46" s="26"/>
      <c r="P46" s="33"/>
      <c r="Q46" s="31" t="str">
        <f t="shared" si="2"/>
        <v/>
      </c>
      <c r="R46" s="25" t="str">
        <f t="shared" ca="1" si="3"/>
        <v/>
      </c>
    </row>
    <row r="47" spans="2:18" ht="15" customHeight="1" x14ac:dyDescent="0.25">
      <c r="B47" s="34" t="str">
        <f>IF($C47="","",COUNT($C$20:$C47))</f>
        <v/>
      </c>
      <c r="C47" s="35"/>
      <c r="D47" s="36"/>
      <c r="E47" s="36"/>
      <c r="F47" s="36"/>
      <c r="G47" s="36"/>
      <c r="H47" s="36"/>
      <c r="I47" s="37"/>
      <c r="J47" s="38"/>
      <c r="K47" s="39"/>
      <c r="L47" s="40" t="str">
        <f t="shared" si="0"/>
        <v/>
      </c>
      <c r="M47" s="41" t="str">
        <f t="shared" si="1"/>
        <v/>
      </c>
      <c r="N47" s="36"/>
      <c r="O47" s="35"/>
      <c r="P47" s="42"/>
      <c r="Q47" s="40" t="str">
        <f t="shared" si="2"/>
        <v/>
      </c>
      <c r="R47" s="34" t="str">
        <f t="shared" ca="1" si="3"/>
        <v/>
      </c>
    </row>
    <row r="48" spans="2:18" ht="15" customHeight="1" x14ac:dyDescent="0.25">
      <c r="B48" s="25" t="str">
        <f>IF($C48="","",COUNT($C$20:$C48))</f>
        <v/>
      </c>
      <c r="C48" s="26"/>
      <c r="D48" s="27"/>
      <c r="E48" s="27"/>
      <c r="F48" s="27"/>
      <c r="G48" s="27"/>
      <c r="H48" s="27"/>
      <c r="I48" s="28"/>
      <c r="J48" s="29"/>
      <c r="K48" s="30"/>
      <c r="L48" s="31" t="str">
        <f t="shared" si="0"/>
        <v/>
      </c>
      <c r="M48" s="32" t="str">
        <f t="shared" si="1"/>
        <v/>
      </c>
      <c r="N48" s="27"/>
      <c r="O48" s="26"/>
      <c r="P48" s="33"/>
      <c r="Q48" s="31" t="str">
        <f t="shared" si="2"/>
        <v/>
      </c>
      <c r="R48" s="25" t="str">
        <f t="shared" ca="1" si="3"/>
        <v/>
      </c>
    </row>
    <row r="49" spans="2:18" ht="15" customHeight="1" x14ac:dyDescent="0.25">
      <c r="B49" s="34" t="str">
        <f>IF($C49="","",COUNT($C$20:$C49))</f>
        <v/>
      </c>
      <c r="C49" s="35"/>
      <c r="D49" s="36"/>
      <c r="E49" s="36"/>
      <c r="F49" s="36"/>
      <c r="G49" s="36"/>
      <c r="H49" s="36"/>
      <c r="I49" s="37"/>
      <c r="J49" s="38"/>
      <c r="K49" s="39"/>
      <c r="L49" s="40" t="str">
        <f t="shared" si="0"/>
        <v/>
      </c>
      <c r="M49" s="41" t="str">
        <f t="shared" si="1"/>
        <v/>
      </c>
      <c r="N49" s="36"/>
      <c r="O49" s="35"/>
      <c r="P49" s="42"/>
      <c r="Q49" s="40" t="str">
        <f t="shared" si="2"/>
        <v/>
      </c>
      <c r="R49" s="34" t="str">
        <f t="shared" ca="1" si="3"/>
        <v/>
      </c>
    </row>
    <row r="50" spans="2:18" ht="15" customHeight="1" x14ac:dyDescent="0.25">
      <c r="B50" s="25" t="str">
        <f>IF($C50="","",COUNT($C$20:$C50))</f>
        <v/>
      </c>
      <c r="C50" s="26"/>
      <c r="D50" s="27"/>
      <c r="E50" s="27"/>
      <c r="F50" s="27"/>
      <c r="G50" s="27"/>
      <c r="H50" s="27"/>
      <c r="I50" s="28"/>
      <c r="J50" s="29"/>
      <c r="K50" s="30"/>
      <c r="L50" s="31" t="str">
        <f t="shared" si="0"/>
        <v/>
      </c>
      <c r="M50" s="32" t="str">
        <f t="shared" si="1"/>
        <v/>
      </c>
      <c r="N50" s="27"/>
      <c r="O50" s="26"/>
      <c r="P50" s="33"/>
      <c r="Q50" s="31" t="str">
        <f t="shared" si="2"/>
        <v/>
      </c>
      <c r="R50" s="25" t="str">
        <f t="shared" ca="1" si="3"/>
        <v/>
      </c>
    </row>
    <row r="51" spans="2:18" ht="15" customHeight="1" x14ac:dyDescent="0.25">
      <c r="B51" s="34" t="str">
        <f>IF($C51="","",COUNT($C$20:$C51))</f>
        <v/>
      </c>
      <c r="C51" s="35"/>
      <c r="D51" s="36"/>
      <c r="E51" s="36"/>
      <c r="F51" s="36"/>
      <c r="G51" s="36"/>
      <c r="H51" s="36"/>
      <c r="I51" s="37"/>
      <c r="J51" s="38"/>
      <c r="K51" s="39"/>
      <c r="L51" s="40" t="str">
        <f t="shared" si="0"/>
        <v/>
      </c>
      <c r="M51" s="41" t="str">
        <f t="shared" si="1"/>
        <v/>
      </c>
      <c r="N51" s="36"/>
      <c r="O51" s="35"/>
      <c r="P51" s="42"/>
      <c r="Q51" s="40" t="str">
        <f t="shared" si="2"/>
        <v/>
      </c>
      <c r="R51" s="34" t="str">
        <f t="shared" ca="1" si="3"/>
        <v/>
      </c>
    </row>
    <row r="52" spans="2:18" ht="15" customHeight="1" x14ac:dyDescent="0.25">
      <c r="B52" s="25" t="str">
        <f>IF($C52="","",COUNT($C$20:$C52))</f>
        <v/>
      </c>
      <c r="C52" s="26"/>
      <c r="D52" s="27"/>
      <c r="E52" s="27"/>
      <c r="F52" s="27"/>
      <c r="G52" s="27"/>
      <c r="H52" s="27"/>
      <c r="I52" s="28"/>
      <c r="J52" s="29"/>
      <c r="K52" s="30"/>
      <c r="L52" s="31" t="str">
        <f t="shared" ref="L52:L83" si="4">IF($J52="","",ROUND($J52*$K52,2))</f>
        <v/>
      </c>
      <c r="M52" s="32" t="str">
        <f t="shared" ref="M52:M83" si="5">IF($J52="","",ROUND($J52+$L52,2))</f>
        <v/>
      </c>
      <c r="N52" s="27"/>
      <c r="O52" s="26"/>
      <c r="P52" s="33"/>
      <c r="Q52" s="31" t="str">
        <f t="shared" ref="Q52:Q83" si="6">IF($J52="","",MAX(0,ROUND($M52-$P52,2)))</f>
        <v/>
      </c>
      <c r="R52" s="25" t="str">
        <f t="shared" ref="R52:R83" ca="1" si="7">IF($J52="","",IF($P52&gt;=$M52,"Bezahlt",IF($P52&gt;0,"Teilzahlung",IF(AND($O52&lt;&gt;"",$O52&lt;TODAY()),"Überfällig","Offen"))))</f>
        <v/>
      </c>
    </row>
    <row r="53" spans="2:18" ht="15" customHeight="1" x14ac:dyDescent="0.25">
      <c r="B53" s="34" t="str">
        <f>IF($C53="","",COUNT($C$20:$C53))</f>
        <v/>
      </c>
      <c r="C53" s="35"/>
      <c r="D53" s="36"/>
      <c r="E53" s="36"/>
      <c r="F53" s="36"/>
      <c r="G53" s="36"/>
      <c r="H53" s="36"/>
      <c r="I53" s="37"/>
      <c r="J53" s="38"/>
      <c r="K53" s="39"/>
      <c r="L53" s="40" t="str">
        <f t="shared" si="4"/>
        <v/>
      </c>
      <c r="M53" s="41" t="str">
        <f t="shared" si="5"/>
        <v/>
      </c>
      <c r="N53" s="36"/>
      <c r="O53" s="35"/>
      <c r="P53" s="42"/>
      <c r="Q53" s="40" t="str">
        <f t="shared" si="6"/>
        <v/>
      </c>
      <c r="R53" s="34" t="str">
        <f t="shared" ca="1" si="7"/>
        <v/>
      </c>
    </row>
    <row r="54" spans="2:18" ht="15" customHeight="1" x14ac:dyDescent="0.25">
      <c r="B54" s="25" t="str">
        <f>IF($C54="","",COUNT($C$20:$C54))</f>
        <v/>
      </c>
      <c r="C54" s="26"/>
      <c r="D54" s="27"/>
      <c r="E54" s="27"/>
      <c r="F54" s="27"/>
      <c r="G54" s="27"/>
      <c r="H54" s="27"/>
      <c r="I54" s="28"/>
      <c r="J54" s="29"/>
      <c r="K54" s="30"/>
      <c r="L54" s="31" t="str">
        <f t="shared" si="4"/>
        <v/>
      </c>
      <c r="M54" s="32" t="str">
        <f t="shared" si="5"/>
        <v/>
      </c>
      <c r="N54" s="27"/>
      <c r="O54" s="26"/>
      <c r="P54" s="33"/>
      <c r="Q54" s="31" t="str">
        <f t="shared" si="6"/>
        <v/>
      </c>
      <c r="R54" s="25" t="str">
        <f t="shared" ca="1" si="7"/>
        <v/>
      </c>
    </row>
    <row r="55" spans="2:18" ht="15" customHeight="1" x14ac:dyDescent="0.25">
      <c r="B55" s="34" t="str">
        <f>IF($C55="","",COUNT($C$20:$C55))</f>
        <v/>
      </c>
      <c r="C55" s="35"/>
      <c r="D55" s="36"/>
      <c r="E55" s="36"/>
      <c r="F55" s="36"/>
      <c r="G55" s="36"/>
      <c r="H55" s="36"/>
      <c r="I55" s="37"/>
      <c r="J55" s="38"/>
      <c r="K55" s="39"/>
      <c r="L55" s="40" t="str">
        <f t="shared" si="4"/>
        <v/>
      </c>
      <c r="M55" s="41" t="str">
        <f t="shared" si="5"/>
        <v/>
      </c>
      <c r="N55" s="36"/>
      <c r="O55" s="35"/>
      <c r="P55" s="42"/>
      <c r="Q55" s="40" t="str">
        <f t="shared" si="6"/>
        <v/>
      </c>
      <c r="R55" s="34" t="str">
        <f t="shared" ca="1" si="7"/>
        <v/>
      </c>
    </row>
    <row r="56" spans="2:18" ht="15" customHeight="1" x14ac:dyDescent="0.25">
      <c r="B56" s="25" t="str">
        <f>IF($C56="","",COUNT($C$20:$C56))</f>
        <v/>
      </c>
      <c r="C56" s="26"/>
      <c r="D56" s="27"/>
      <c r="E56" s="27"/>
      <c r="F56" s="27"/>
      <c r="G56" s="27"/>
      <c r="H56" s="27"/>
      <c r="I56" s="28"/>
      <c r="J56" s="29"/>
      <c r="K56" s="30"/>
      <c r="L56" s="31" t="str">
        <f t="shared" si="4"/>
        <v/>
      </c>
      <c r="M56" s="32" t="str">
        <f t="shared" si="5"/>
        <v/>
      </c>
      <c r="N56" s="27"/>
      <c r="O56" s="26"/>
      <c r="P56" s="33"/>
      <c r="Q56" s="31" t="str">
        <f t="shared" si="6"/>
        <v/>
      </c>
      <c r="R56" s="25" t="str">
        <f t="shared" ca="1" si="7"/>
        <v/>
      </c>
    </row>
    <row r="57" spans="2:18" ht="15" customHeight="1" x14ac:dyDescent="0.25">
      <c r="B57" s="34" t="str">
        <f>IF($C57="","",COUNT($C$20:$C57))</f>
        <v/>
      </c>
      <c r="C57" s="35"/>
      <c r="D57" s="36"/>
      <c r="E57" s="36"/>
      <c r="F57" s="36"/>
      <c r="G57" s="36"/>
      <c r="H57" s="36"/>
      <c r="I57" s="37"/>
      <c r="J57" s="38"/>
      <c r="K57" s="39"/>
      <c r="L57" s="40" t="str">
        <f t="shared" si="4"/>
        <v/>
      </c>
      <c r="M57" s="41" t="str">
        <f t="shared" si="5"/>
        <v/>
      </c>
      <c r="N57" s="36"/>
      <c r="O57" s="35"/>
      <c r="P57" s="42"/>
      <c r="Q57" s="40" t="str">
        <f t="shared" si="6"/>
        <v/>
      </c>
      <c r="R57" s="34" t="str">
        <f t="shared" ca="1" si="7"/>
        <v/>
      </c>
    </row>
    <row r="58" spans="2:18" ht="15" customHeight="1" x14ac:dyDescent="0.25">
      <c r="B58" s="25" t="str">
        <f>IF($C58="","",COUNT($C$20:$C58))</f>
        <v/>
      </c>
      <c r="C58" s="26"/>
      <c r="D58" s="27"/>
      <c r="E58" s="27"/>
      <c r="F58" s="27"/>
      <c r="G58" s="27"/>
      <c r="H58" s="27"/>
      <c r="I58" s="28"/>
      <c r="J58" s="29"/>
      <c r="K58" s="30"/>
      <c r="L58" s="31" t="str">
        <f t="shared" si="4"/>
        <v/>
      </c>
      <c r="M58" s="32" t="str">
        <f t="shared" si="5"/>
        <v/>
      </c>
      <c r="N58" s="27"/>
      <c r="O58" s="26"/>
      <c r="P58" s="33"/>
      <c r="Q58" s="31" t="str">
        <f t="shared" si="6"/>
        <v/>
      </c>
      <c r="R58" s="25" t="str">
        <f t="shared" ca="1" si="7"/>
        <v/>
      </c>
    </row>
    <row r="59" spans="2:18" ht="15" customHeight="1" x14ac:dyDescent="0.25">
      <c r="B59" s="34" t="str">
        <f>IF($C59="","",COUNT($C$20:$C59))</f>
        <v/>
      </c>
      <c r="C59" s="35"/>
      <c r="D59" s="36"/>
      <c r="E59" s="36"/>
      <c r="F59" s="36"/>
      <c r="G59" s="36"/>
      <c r="H59" s="36"/>
      <c r="I59" s="37"/>
      <c r="J59" s="38"/>
      <c r="K59" s="39"/>
      <c r="L59" s="40" t="str">
        <f t="shared" si="4"/>
        <v/>
      </c>
      <c r="M59" s="41" t="str">
        <f t="shared" si="5"/>
        <v/>
      </c>
      <c r="N59" s="36"/>
      <c r="O59" s="35"/>
      <c r="P59" s="42"/>
      <c r="Q59" s="40" t="str">
        <f t="shared" si="6"/>
        <v/>
      </c>
      <c r="R59" s="34" t="str">
        <f t="shared" ca="1" si="7"/>
        <v/>
      </c>
    </row>
    <row r="60" spans="2:18" ht="15" customHeight="1" x14ac:dyDescent="0.25">
      <c r="B60" s="25" t="str">
        <f>IF($C60="","",COUNT($C$20:$C60))</f>
        <v/>
      </c>
      <c r="C60" s="26"/>
      <c r="D60" s="27"/>
      <c r="E60" s="27"/>
      <c r="F60" s="27"/>
      <c r="G60" s="27"/>
      <c r="H60" s="27"/>
      <c r="I60" s="28"/>
      <c r="J60" s="29"/>
      <c r="K60" s="30"/>
      <c r="L60" s="31" t="str">
        <f t="shared" si="4"/>
        <v/>
      </c>
      <c r="M60" s="32" t="str">
        <f t="shared" si="5"/>
        <v/>
      </c>
      <c r="N60" s="27"/>
      <c r="O60" s="26"/>
      <c r="P60" s="33"/>
      <c r="Q60" s="31" t="str">
        <f t="shared" si="6"/>
        <v/>
      </c>
      <c r="R60" s="25" t="str">
        <f t="shared" ca="1" si="7"/>
        <v/>
      </c>
    </row>
    <row r="61" spans="2:18" ht="15" customHeight="1" x14ac:dyDescent="0.25">
      <c r="B61" s="34" t="str">
        <f>IF($C61="","",COUNT($C$20:$C61))</f>
        <v/>
      </c>
      <c r="C61" s="35"/>
      <c r="D61" s="36"/>
      <c r="E61" s="36"/>
      <c r="F61" s="36"/>
      <c r="G61" s="36"/>
      <c r="H61" s="36"/>
      <c r="I61" s="37"/>
      <c r="J61" s="38"/>
      <c r="K61" s="39"/>
      <c r="L61" s="40" t="str">
        <f t="shared" si="4"/>
        <v/>
      </c>
      <c r="M61" s="41" t="str">
        <f t="shared" si="5"/>
        <v/>
      </c>
      <c r="N61" s="36"/>
      <c r="O61" s="35"/>
      <c r="P61" s="42"/>
      <c r="Q61" s="40" t="str">
        <f t="shared" si="6"/>
        <v/>
      </c>
      <c r="R61" s="34" t="str">
        <f t="shared" ca="1" si="7"/>
        <v/>
      </c>
    </row>
    <row r="62" spans="2:18" ht="15" customHeight="1" x14ac:dyDescent="0.25">
      <c r="B62" s="25" t="str">
        <f>IF($C62="","",COUNT($C$20:$C62))</f>
        <v/>
      </c>
      <c r="C62" s="26"/>
      <c r="D62" s="27"/>
      <c r="E62" s="27"/>
      <c r="F62" s="27"/>
      <c r="G62" s="27"/>
      <c r="H62" s="27"/>
      <c r="I62" s="28"/>
      <c r="J62" s="29"/>
      <c r="K62" s="30"/>
      <c r="L62" s="31" t="str">
        <f t="shared" si="4"/>
        <v/>
      </c>
      <c r="M62" s="32" t="str">
        <f t="shared" si="5"/>
        <v/>
      </c>
      <c r="N62" s="27"/>
      <c r="O62" s="26"/>
      <c r="P62" s="33"/>
      <c r="Q62" s="31" t="str">
        <f t="shared" si="6"/>
        <v/>
      </c>
      <c r="R62" s="25" t="str">
        <f t="shared" ca="1" si="7"/>
        <v/>
      </c>
    </row>
    <row r="63" spans="2:18" ht="15" customHeight="1" x14ac:dyDescent="0.25">
      <c r="B63" s="34" t="str">
        <f>IF($C63="","",COUNT($C$20:$C63))</f>
        <v/>
      </c>
      <c r="C63" s="35"/>
      <c r="D63" s="36"/>
      <c r="E63" s="36"/>
      <c r="F63" s="36"/>
      <c r="G63" s="36"/>
      <c r="H63" s="36"/>
      <c r="I63" s="37"/>
      <c r="J63" s="38"/>
      <c r="K63" s="39"/>
      <c r="L63" s="40" t="str">
        <f t="shared" si="4"/>
        <v/>
      </c>
      <c r="M63" s="41" t="str">
        <f t="shared" si="5"/>
        <v/>
      </c>
      <c r="N63" s="36"/>
      <c r="O63" s="35"/>
      <c r="P63" s="42"/>
      <c r="Q63" s="40" t="str">
        <f t="shared" si="6"/>
        <v/>
      </c>
      <c r="R63" s="34" t="str">
        <f t="shared" ca="1" si="7"/>
        <v/>
      </c>
    </row>
    <row r="64" spans="2:18" ht="15" customHeight="1" x14ac:dyDescent="0.25">
      <c r="B64" s="25" t="str">
        <f>IF($C64="","",COUNT($C$20:$C64))</f>
        <v/>
      </c>
      <c r="C64" s="26"/>
      <c r="D64" s="27"/>
      <c r="E64" s="27"/>
      <c r="F64" s="27"/>
      <c r="G64" s="27"/>
      <c r="H64" s="27"/>
      <c r="I64" s="28"/>
      <c r="J64" s="29"/>
      <c r="K64" s="30"/>
      <c r="L64" s="31" t="str">
        <f t="shared" si="4"/>
        <v/>
      </c>
      <c r="M64" s="32" t="str">
        <f t="shared" si="5"/>
        <v/>
      </c>
      <c r="N64" s="27"/>
      <c r="O64" s="26"/>
      <c r="P64" s="33"/>
      <c r="Q64" s="31" t="str">
        <f t="shared" si="6"/>
        <v/>
      </c>
      <c r="R64" s="25" t="str">
        <f t="shared" ca="1" si="7"/>
        <v/>
      </c>
    </row>
    <row r="65" spans="2:18" ht="15" customHeight="1" x14ac:dyDescent="0.25">
      <c r="B65" s="34" t="str">
        <f>IF($C65="","",COUNT($C$20:$C65))</f>
        <v/>
      </c>
      <c r="C65" s="35"/>
      <c r="D65" s="36"/>
      <c r="E65" s="36"/>
      <c r="F65" s="36"/>
      <c r="G65" s="36"/>
      <c r="H65" s="36"/>
      <c r="I65" s="37"/>
      <c r="J65" s="38"/>
      <c r="K65" s="39"/>
      <c r="L65" s="40" t="str">
        <f t="shared" si="4"/>
        <v/>
      </c>
      <c r="M65" s="41" t="str">
        <f t="shared" si="5"/>
        <v/>
      </c>
      <c r="N65" s="36"/>
      <c r="O65" s="35"/>
      <c r="P65" s="42"/>
      <c r="Q65" s="40" t="str">
        <f t="shared" si="6"/>
        <v/>
      </c>
      <c r="R65" s="34" t="str">
        <f t="shared" ca="1" si="7"/>
        <v/>
      </c>
    </row>
    <row r="66" spans="2:18" ht="15" customHeight="1" x14ac:dyDescent="0.25">
      <c r="B66" s="25" t="str">
        <f>IF($C66="","",COUNT($C$20:$C66))</f>
        <v/>
      </c>
      <c r="C66" s="26"/>
      <c r="D66" s="27"/>
      <c r="E66" s="27"/>
      <c r="F66" s="27"/>
      <c r="G66" s="27"/>
      <c r="H66" s="27"/>
      <c r="I66" s="28"/>
      <c r="J66" s="29"/>
      <c r="K66" s="30"/>
      <c r="L66" s="31" t="str">
        <f t="shared" si="4"/>
        <v/>
      </c>
      <c r="M66" s="32" t="str">
        <f t="shared" si="5"/>
        <v/>
      </c>
      <c r="N66" s="27"/>
      <c r="O66" s="26"/>
      <c r="P66" s="33"/>
      <c r="Q66" s="31" t="str">
        <f t="shared" si="6"/>
        <v/>
      </c>
      <c r="R66" s="25" t="str">
        <f t="shared" ca="1" si="7"/>
        <v/>
      </c>
    </row>
    <row r="67" spans="2:18" ht="15" customHeight="1" x14ac:dyDescent="0.25">
      <c r="B67" s="34" t="str">
        <f>IF($C67="","",COUNT($C$20:$C67))</f>
        <v/>
      </c>
      <c r="C67" s="35"/>
      <c r="D67" s="36"/>
      <c r="E67" s="36"/>
      <c r="F67" s="36"/>
      <c r="G67" s="36"/>
      <c r="H67" s="36"/>
      <c r="I67" s="37"/>
      <c r="J67" s="38"/>
      <c r="K67" s="39"/>
      <c r="L67" s="40" t="str">
        <f t="shared" si="4"/>
        <v/>
      </c>
      <c r="M67" s="41" t="str">
        <f t="shared" si="5"/>
        <v/>
      </c>
      <c r="N67" s="36"/>
      <c r="O67" s="35"/>
      <c r="P67" s="42"/>
      <c r="Q67" s="40" t="str">
        <f t="shared" si="6"/>
        <v/>
      </c>
      <c r="R67" s="34" t="str">
        <f t="shared" ca="1" si="7"/>
        <v/>
      </c>
    </row>
    <row r="68" spans="2:18" ht="15" customHeight="1" x14ac:dyDescent="0.25">
      <c r="B68" s="25" t="str">
        <f>IF($C68="","",COUNT($C$20:$C68))</f>
        <v/>
      </c>
      <c r="C68" s="26"/>
      <c r="D68" s="27"/>
      <c r="E68" s="27"/>
      <c r="F68" s="27"/>
      <c r="G68" s="27"/>
      <c r="H68" s="27"/>
      <c r="I68" s="28"/>
      <c r="J68" s="29"/>
      <c r="K68" s="30"/>
      <c r="L68" s="31" t="str">
        <f t="shared" si="4"/>
        <v/>
      </c>
      <c r="M68" s="32" t="str">
        <f t="shared" si="5"/>
        <v/>
      </c>
      <c r="N68" s="27"/>
      <c r="O68" s="26"/>
      <c r="P68" s="33"/>
      <c r="Q68" s="31" t="str">
        <f t="shared" si="6"/>
        <v/>
      </c>
      <c r="R68" s="25" t="str">
        <f t="shared" ca="1" si="7"/>
        <v/>
      </c>
    </row>
    <row r="69" spans="2:18" ht="15" customHeight="1" x14ac:dyDescent="0.25">
      <c r="B69" s="34" t="str">
        <f>IF($C69="","",COUNT($C$20:$C69))</f>
        <v/>
      </c>
      <c r="C69" s="35"/>
      <c r="D69" s="36"/>
      <c r="E69" s="36"/>
      <c r="F69" s="36"/>
      <c r="G69" s="36"/>
      <c r="H69" s="36"/>
      <c r="I69" s="37"/>
      <c r="J69" s="38"/>
      <c r="K69" s="39"/>
      <c r="L69" s="40" t="str">
        <f t="shared" si="4"/>
        <v/>
      </c>
      <c r="M69" s="41" t="str">
        <f t="shared" si="5"/>
        <v/>
      </c>
      <c r="N69" s="36"/>
      <c r="O69" s="35"/>
      <c r="P69" s="42"/>
      <c r="Q69" s="40" t="str">
        <f t="shared" si="6"/>
        <v/>
      </c>
      <c r="R69" s="34" t="str">
        <f t="shared" ca="1" si="7"/>
        <v/>
      </c>
    </row>
    <row r="70" spans="2:18" ht="15" customHeight="1" x14ac:dyDescent="0.25">
      <c r="B70" s="25" t="str">
        <f>IF($C70="","",COUNT($C$20:$C70))</f>
        <v/>
      </c>
      <c r="C70" s="26"/>
      <c r="D70" s="27"/>
      <c r="E70" s="27"/>
      <c r="F70" s="27"/>
      <c r="G70" s="27"/>
      <c r="H70" s="27"/>
      <c r="I70" s="28"/>
      <c r="J70" s="29"/>
      <c r="K70" s="30"/>
      <c r="L70" s="31" t="str">
        <f t="shared" si="4"/>
        <v/>
      </c>
      <c r="M70" s="32" t="str">
        <f t="shared" si="5"/>
        <v/>
      </c>
      <c r="N70" s="27"/>
      <c r="O70" s="26"/>
      <c r="P70" s="33"/>
      <c r="Q70" s="31" t="str">
        <f t="shared" si="6"/>
        <v/>
      </c>
      <c r="R70" s="25" t="str">
        <f t="shared" ca="1" si="7"/>
        <v/>
      </c>
    </row>
    <row r="71" spans="2:18" ht="15" customHeight="1" x14ac:dyDescent="0.25">
      <c r="B71" s="34" t="str">
        <f>IF($C71="","",COUNT($C$20:$C71))</f>
        <v/>
      </c>
      <c r="C71" s="35"/>
      <c r="D71" s="36"/>
      <c r="E71" s="36"/>
      <c r="F71" s="36"/>
      <c r="G71" s="36"/>
      <c r="H71" s="36"/>
      <c r="I71" s="37"/>
      <c r="J71" s="38"/>
      <c r="K71" s="39"/>
      <c r="L71" s="40" t="str">
        <f t="shared" si="4"/>
        <v/>
      </c>
      <c r="M71" s="41" t="str">
        <f t="shared" si="5"/>
        <v/>
      </c>
      <c r="N71" s="36"/>
      <c r="O71" s="35"/>
      <c r="P71" s="42"/>
      <c r="Q71" s="40" t="str">
        <f t="shared" si="6"/>
        <v/>
      </c>
      <c r="R71" s="34" t="str">
        <f t="shared" ca="1" si="7"/>
        <v/>
      </c>
    </row>
    <row r="72" spans="2:18" ht="15" customHeight="1" x14ac:dyDescent="0.25">
      <c r="B72" s="25" t="str">
        <f>IF($C72="","",COUNT($C$20:$C72))</f>
        <v/>
      </c>
      <c r="C72" s="26"/>
      <c r="D72" s="27"/>
      <c r="E72" s="27"/>
      <c r="F72" s="27"/>
      <c r="G72" s="27"/>
      <c r="H72" s="27"/>
      <c r="I72" s="28"/>
      <c r="J72" s="29"/>
      <c r="K72" s="30"/>
      <c r="L72" s="31" t="str">
        <f t="shared" si="4"/>
        <v/>
      </c>
      <c r="M72" s="32" t="str">
        <f t="shared" si="5"/>
        <v/>
      </c>
      <c r="N72" s="27"/>
      <c r="O72" s="26"/>
      <c r="P72" s="33"/>
      <c r="Q72" s="31" t="str">
        <f t="shared" si="6"/>
        <v/>
      </c>
      <c r="R72" s="25" t="str">
        <f t="shared" ca="1" si="7"/>
        <v/>
      </c>
    </row>
    <row r="73" spans="2:18" ht="15" customHeight="1" x14ac:dyDescent="0.25">
      <c r="B73" s="34" t="str">
        <f>IF($C73="","",COUNT($C$20:$C73))</f>
        <v/>
      </c>
      <c r="C73" s="35"/>
      <c r="D73" s="36"/>
      <c r="E73" s="36"/>
      <c r="F73" s="36"/>
      <c r="G73" s="36"/>
      <c r="H73" s="36"/>
      <c r="I73" s="37"/>
      <c r="J73" s="38"/>
      <c r="K73" s="39"/>
      <c r="L73" s="40" t="str">
        <f t="shared" si="4"/>
        <v/>
      </c>
      <c r="M73" s="41" t="str">
        <f t="shared" si="5"/>
        <v/>
      </c>
      <c r="N73" s="36"/>
      <c r="O73" s="35"/>
      <c r="P73" s="42"/>
      <c r="Q73" s="40" t="str">
        <f t="shared" si="6"/>
        <v/>
      </c>
      <c r="R73" s="34" t="str">
        <f t="shared" ca="1" si="7"/>
        <v/>
      </c>
    </row>
    <row r="74" spans="2:18" ht="15" customHeight="1" x14ac:dyDescent="0.25">
      <c r="B74" s="25" t="str">
        <f>IF($C74="","",COUNT($C$20:$C74))</f>
        <v/>
      </c>
      <c r="C74" s="26"/>
      <c r="D74" s="27"/>
      <c r="E74" s="27"/>
      <c r="F74" s="27"/>
      <c r="G74" s="27"/>
      <c r="H74" s="27"/>
      <c r="I74" s="28"/>
      <c r="J74" s="29"/>
      <c r="K74" s="30"/>
      <c r="L74" s="31" t="str">
        <f t="shared" si="4"/>
        <v/>
      </c>
      <c r="M74" s="32" t="str">
        <f t="shared" si="5"/>
        <v/>
      </c>
      <c r="N74" s="27"/>
      <c r="O74" s="26"/>
      <c r="P74" s="33"/>
      <c r="Q74" s="31" t="str">
        <f t="shared" si="6"/>
        <v/>
      </c>
      <c r="R74" s="25" t="str">
        <f t="shared" ca="1" si="7"/>
        <v/>
      </c>
    </row>
    <row r="75" spans="2:18" ht="15" customHeight="1" x14ac:dyDescent="0.25">
      <c r="B75" s="34" t="str">
        <f>IF($C75="","",COUNT($C$20:$C75))</f>
        <v/>
      </c>
      <c r="C75" s="35"/>
      <c r="D75" s="36"/>
      <c r="E75" s="36"/>
      <c r="F75" s="36"/>
      <c r="G75" s="36"/>
      <c r="H75" s="36"/>
      <c r="I75" s="37"/>
      <c r="J75" s="38"/>
      <c r="K75" s="39"/>
      <c r="L75" s="40" t="str">
        <f t="shared" si="4"/>
        <v/>
      </c>
      <c r="M75" s="41" t="str">
        <f t="shared" si="5"/>
        <v/>
      </c>
      <c r="N75" s="36"/>
      <c r="O75" s="35"/>
      <c r="P75" s="42"/>
      <c r="Q75" s="40" t="str">
        <f t="shared" si="6"/>
        <v/>
      </c>
      <c r="R75" s="34" t="str">
        <f t="shared" ca="1" si="7"/>
        <v/>
      </c>
    </row>
    <row r="76" spans="2:18" ht="15" customHeight="1" x14ac:dyDescent="0.25">
      <c r="B76" s="25" t="str">
        <f>IF($C76="","",COUNT($C$20:$C76))</f>
        <v/>
      </c>
      <c r="C76" s="26"/>
      <c r="D76" s="27"/>
      <c r="E76" s="27"/>
      <c r="F76" s="27"/>
      <c r="G76" s="27"/>
      <c r="H76" s="27"/>
      <c r="I76" s="28"/>
      <c r="J76" s="29"/>
      <c r="K76" s="30"/>
      <c r="L76" s="31" t="str">
        <f t="shared" si="4"/>
        <v/>
      </c>
      <c r="M76" s="32" t="str">
        <f t="shared" si="5"/>
        <v/>
      </c>
      <c r="N76" s="27"/>
      <c r="O76" s="26"/>
      <c r="P76" s="33"/>
      <c r="Q76" s="31" t="str">
        <f t="shared" si="6"/>
        <v/>
      </c>
      <c r="R76" s="25" t="str">
        <f t="shared" ca="1" si="7"/>
        <v/>
      </c>
    </row>
    <row r="77" spans="2:18" ht="15" customHeight="1" x14ac:dyDescent="0.25">
      <c r="B77" s="34" t="str">
        <f>IF($C77="","",COUNT($C$20:$C77))</f>
        <v/>
      </c>
      <c r="C77" s="35"/>
      <c r="D77" s="36"/>
      <c r="E77" s="36"/>
      <c r="F77" s="36"/>
      <c r="G77" s="36"/>
      <c r="H77" s="36"/>
      <c r="I77" s="37"/>
      <c r="J77" s="38"/>
      <c r="K77" s="39"/>
      <c r="L77" s="40" t="str">
        <f t="shared" si="4"/>
        <v/>
      </c>
      <c r="M77" s="41" t="str">
        <f t="shared" si="5"/>
        <v/>
      </c>
      <c r="N77" s="36"/>
      <c r="O77" s="35"/>
      <c r="P77" s="42"/>
      <c r="Q77" s="40" t="str">
        <f t="shared" si="6"/>
        <v/>
      </c>
      <c r="R77" s="34" t="str">
        <f t="shared" ca="1" si="7"/>
        <v/>
      </c>
    </row>
    <row r="78" spans="2:18" ht="15" customHeight="1" x14ac:dyDescent="0.25">
      <c r="B78" s="25" t="str">
        <f>IF($C78="","",COUNT($C$20:$C78))</f>
        <v/>
      </c>
      <c r="C78" s="26"/>
      <c r="D78" s="27"/>
      <c r="E78" s="27"/>
      <c r="F78" s="27"/>
      <c r="G78" s="27"/>
      <c r="H78" s="27"/>
      <c r="I78" s="28"/>
      <c r="J78" s="29"/>
      <c r="K78" s="30"/>
      <c r="L78" s="31" t="str">
        <f t="shared" si="4"/>
        <v/>
      </c>
      <c r="M78" s="32" t="str">
        <f t="shared" si="5"/>
        <v/>
      </c>
      <c r="N78" s="27"/>
      <c r="O78" s="26"/>
      <c r="P78" s="33"/>
      <c r="Q78" s="31" t="str">
        <f t="shared" si="6"/>
        <v/>
      </c>
      <c r="R78" s="25" t="str">
        <f t="shared" ca="1" si="7"/>
        <v/>
      </c>
    </row>
    <row r="79" spans="2:18" ht="15" customHeight="1" x14ac:dyDescent="0.25">
      <c r="B79" s="34" t="str">
        <f>IF($C79="","",COUNT($C$20:$C79))</f>
        <v/>
      </c>
      <c r="C79" s="35"/>
      <c r="D79" s="36"/>
      <c r="E79" s="36"/>
      <c r="F79" s="36"/>
      <c r="G79" s="36"/>
      <c r="H79" s="36"/>
      <c r="I79" s="37"/>
      <c r="J79" s="38"/>
      <c r="K79" s="39"/>
      <c r="L79" s="40" t="str">
        <f t="shared" si="4"/>
        <v/>
      </c>
      <c r="M79" s="41" t="str">
        <f t="shared" si="5"/>
        <v/>
      </c>
      <c r="N79" s="36"/>
      <c r="O79" s="35"/>
      <c r="P79" s="42"/>
      <c r="Q79" s="40" t="str">
        <f t="shared" si="6"/>
        <v/>
      </c>
      <c r="R79" s="34" t="str">
        <f t="shared" ca="1" si="7"/>
        <v/>
      </c>
    </row>
    <row r="80" spans="2:18" ht="15" customHeight="1" x14ac:dyDescent="0.25">
      <c r="B80" s="25" t="str">
        <f>IF($C80="","",COUNT($C$20:$C80))</f>
        <v/>
      </c>
      <c r="C80" s="26"/>
      <c r="D80" s="27"/>
      <c r="E80" s="27"/>
      <c r="F80" s="27"/>
      <c r="G80" s="27"/>
      <c r="H80" s="27"/>
      <c r="I80" s="28"/>
      <c r="J80" s="29"/>
      <c r="K80" s="30"/>
      <c r="L80" s="31" t="str">
        <f t="shared" si="4"/>
        <v/>
      </c>
      <c r="M80" s="32" t="str">
        <f t="shared" si="5"/>
        <v/>
      </c>
      <c r="N80" s="27"/>
      <c r="O80" s="26"/>
      <c r="P80" s="33"/>
      <c r="Q80" s="31" t="str">
        <f t="shared" si="6"/>
        <v/>
      </c>
      <c r="R80" s="25" t="str">
        <f t="shared" ca="1" si="7"/>
        <v/>
      </c>
    </row>
    <row r="81" spans="2:18" ht="15" customHeight="1" x14ac:dyDescent="0.25">
      <c r="B81" s="34" t="str">
        <f>IF($C81="","",COUNT($C$20:$C81))</f>
        <v/>
      </c>
      <c r="C81" s="35"/>
      <c r="D81" s="36"/>
      <c r="E81" s="36"/>
      <c r="F81" s="36"/>
      <c r="G81" s="36"/>
      <c r="H81" s="36"/>
      <c r="I81" s="37"/>
      <c r="J81" s="38"/>
      <c r="K81" s="39"/>
      <c r="L81" s="40" t="str">
        <f t="shared" si="4"/>
        <v/>
      </c>
      <c r="M81" s="41" t="str">
        <f t="shared" si="5"/>
        <v/>
      </c>
      <c r="N81" s="36"/>
      <c r="O81" s="35"/>
      <c r="P81" s="42"/>
      <c r="Q81" s="40" t="str">
        <f t="shared" si="6"/>
        <v/>
      </c>
      <c r="R81" s="34" t="str">
        <f t="shared" ca="1" si="7"/>
        <v/>
      </c>
    </row>
    <row r="82" spans="2:18" ht="15" customHeight="1" x14ac:dyDescent="0.25">
      <c r="B82" s="25" t="str">
        <f>IF($C82="","",COUNT($C$20:$C82))</f>
        <v/>
      </c>
      <c r="C82" s="26"/>
      <c r="D82" s="27"/>
      <c r="E82" s="27"/>
      <c r="F82" s="27"/>
      <c r="G82" s="27"/>
      <c r="H82" s="27"/>
      <c r="I82" s="28"/>
      <c r="J82" s="29"/>
      <c r="K82" s="30"/>
      <c r="L82" s="31" t="str">
        <f t="shared" si="4"/>
        <v/>
      </c>
      <c r="M82" s="32" t="str">
        <f t="shared" si="5"/>
        <v/>
      </c>
      <c r="N82" s="27"/>
      <c r="O82" s="26"/>
      <c r="P82" s="33"/>
      <c r="Q82" s="31" t="str">
        <f t="shared" si="6"/>
        <v/>
      </c>
      <c r="R82" s="25" t="str">
        <f t="shared" ca="1" si="7"/>
        <v/>
      </c>
    </row>
    <row r="83" spans="2:18" ht="15" customHeight="1" x14ac:dyDescent="0.25">
      <c r="B83" s="34" t="str">
        <f>IF($C83="","",COUNT($C$20:$C83))</f>
        <v/>
      </c>
      <c r="C83" s="35"/>
      <c r="D83" s="36"/>
      <c r="E83" s="36"/>
      <c r="F83" s="36"/>
      <c r="G83" s="36"/>
      <c r="H83" s="36"/>
      <c r="I83" s="37"/>
      <c r="J83" s="38"/>
      <c r="K83" s="39"/>
      <c r="L83" s="40" t="str">
        <f t="shared" si="4"/>
        <v/>
      </c>
      <c r="M83" s="41" t="str">
        <f t="shared" si="5"/>
        <v/>
      </c>
      <c r="N83" s="36"/>
      <c r="O83" s="35"/>
      <c r="P83" s="42"/>
      <c r="Q83" s="40" t="str">
        <f t="shared" si="6"/>
        <v/>
      </c>
      <c r="R83" s="34" t="str">
        <f t="shared" ca="1" si="7"/>
        <v/>
      </c>
    </row>
    <row r="84" spans="2:18" ht="15" customHeight="1" x14ac:dyDescent="0.25">
      <c r="B84" s="25" t="str">
        <f>IF($C84="","",COUNT($C$20:$C84))</f>
        <v/>
      </c>
      <c r="C84" s="26"/>
      <c r="D84" s="27"/>
      <c r="E84" s="27"/>
      <c r="F84" s="27"/>
      <c r="G84" s="27"/>
      <c r="H84" s="27"/>
      <c r="I84" s="28"/>
      <c r="J84" s="29"/>
      <c r="K84" s="30"/>
      <c r="L84" s="31" t="str">
        <f t="shared" ref="L84:L119" si="8">IF($J84="","",ROUND($J84*$K84,2))</f>
        <v/>
      </c>
      <c r="M84" s="32" t="str">
        <f t="shared" ref="M84:M119" si="9">IF($J84="","",ROUND($J84+$L84,2))</f>
        <v/>
      </c>
      <c r="N84" s="27"/>
      <c r="O84" s="26"/>
      <c r="P84" s="33"/>
      <c r="Q84" s="31" t="str">
        <f t="shared" ref="Q84:Q119" si="10">IF($J84="","",MAX(0,ROUND($M84-$P84,2)))</f>
        <v/>
      </c>
      <c r="R84" s="25" t="str">
        <f t="shared" ref="R84:R119" ca="1" si="11">IF($J84="","",IF($P84&gt;=$M84,"Bezahlt",IF($P84&gt;0,"Teilzahlung",IF(AND($O84&lt;&gt;"",$O84&lt;TODAY()),"Überfällig","Offen"))))</f>
        <v/>
      </c>
    </row>
    <row r="85" spans="2:18" ht="15" customHeight="1" x14ac:dyDescent="0.25">
      <c r="B85" s="34" t="str">
        <f>IF($C85="","",COUNT($C$20:$C85))</f>
        <v/>
      </c>
      <c r="C85" s="35"/>
      <c r="D85" s="36"/>
      <c r="E85" s="36"/>
      <c r="F85" s="36"/>
      <c r="G85" s="36"/>
      <c r="H85" s="36"/>
      <c r="I85" s="37"/>
      <c r="J85" s="38"/>
      <c r="K85" s="39"/>
      <c r="L85" s="40" t="str">
        <f t="shared" si="8"/>
        <v/>
      </c>
      <c r="M85" s="41" t="str">
        <f t="shared" si="9"/>
        <v/>
      </c>
      <c r="N85" s="36"/>
      <c r="O85" s="35"/>
      <c r="P85" s="42"/>
      <c r="Q85" s="40" t="str">
        <f t="shared" si="10"/>
        <v/>
      </c>
      <c r="R85" s="34" t="str">
        <f t="shared" ca="1" si="11"/>
        <v/>
      </c>
    </row>
    <row r="86" spans="2:18" ht="15" customHeight="1" x14ac:dyDescent="0.25">
      <c r="B86" s="25" t="str">
        <f>IF($C86="","",COUNT($C$20:$C86))</f>
        <v/>
      </c>
      <c r="C86" s="26"/>
      <c r="D86" s="27"/>
      <c r="E86" s="27"/>
      <c r="F86" s="27"/>
      <c r="G86" s="27"/>
      <c r="H86" s="27"/>
      <c r="I86" s="28"/>
      <c r="J86" s="29"/>
      <c r="K86" s="30"/>
      <c r="L86" s="31" t="str">
        <f t="shared" si="8"/>
        <v/>
      </c>
      <c r="M86" s="32" t="str">
        <f t="shared" si="9"/>
        <v/>
      </c>
      <c r="N86" s="27"/>
      <c r="O86" s="26"/>
      <c r="P86" s="33"/>
      <c r="Q86" s="31" t="str">
        <f t="shared" si="10"/>
        <v/>
      </c>
      <c r="R86" s="25" t="str">
        <f t="shared" ca="1" si="11"/>
        <v/>
      </c>
    </row>
    <row r="87" spans="2:18" ht="15" customHeight="1" x14ac:dyDescent="0.25">
      <c r="B87" s="34" t="str">
        <f>IF($C87="","",COUNT($C$20:$C87))</f>
        <v/>
      </c>
      <c r="C87" s="35"/>
      <c r="D87" s="36"/>
      <c r="E87" s="36"/>
      <c r="F87" s="36"/>
      <c r="G87" s="36"/>
      <c r="H87" s="36"/>
      <c r="I87" s="37"/>
      <c r="J87" s="38"/>
      <c r="K87" s="39"/>
      <c r="L87" s="40" t="str">
        <f t="shared" si="8"/>
        <v/>
      </c>
      <c r="M87" s="41" t="str">
        <f t="shared" si="9"/>
        <v/>
      </c>
      <c r="N87" s="36"/>
      <c r="O87" s="35"/>
      <c r="P87" s="42"/>
      <c r="Q87" s="40" t="str">
        <f t="shared" si="10"/>
        <v/>
      </c>
      <c r="R87" s="34" t="str">
        <f t="shared" ca="1" si="11"/>
        <v/>
      </c>
    </row>
    <row r="88" spans="2:18" ht="15" customHeight="1" x14ac:dyDescent="0.25">
      <c r="B88" s="25" t="str">
        <f>IF($C88="","",COUNT($C$20:$C88))</f>
        <v/>
      </c>
      <c r="C88" s="26"/>
      <c r="D88" s="27"/>
      <c r="E88" s="27"/>
      <c r="F88" s="27"/>
      <c r="G88" s="27"/>
      <c r="H88" s="27"/>
      <c r="I88" s="28"/>
      <c r="J88" s="29"/>
      <c r="K88" s="30"/>
      <c r="L88" s="31" t="str">
        <f t="shared" si="8"/>
        <v/>
      </c>
      <c r="M88" s="32" t="str">
        <f t="shared" si="9"/>
        <v/>
      </c>
      <c r="N88" s="27"/>
      <c r="O88" s="26"/>
      <c r="P88" s="33"/>
      <c r="Q88" s="31" t="str">
        <f t="shared" si="10"/>
        <v/>
      </c>
      <c r="R88" s="25" t="str">
        <f t="shared" ca="1" si="11"/>
        <v/>
      </c>
    </row>
    <row r="89" spans="2:18" ht="15" customHeight="1" x14ac:dyDescent="0.25">
      <c r="B89" s="34" t="str">
        <f>IF($C89="","",COUNT($C$20:$C89))</f>
        <v/>
      </c>
      <c r="C89" s="35"/>
      <c r="D89" s="36"/>
      <c r="E89" s="36"/>
      <c r="F89" s="36"/>
      <c r="G89" s="36"/>
      <c r="H89" s="36"/>
      <c r="I89" s="37"/>
      <c r="J89" s="38"/>
      <c r="K89" s="39"/>
      <c r="L89" s="40" t="str">
        <f t="shared" si="8"/>
        <v/>
      </c>
      <c r="M89" s="41" t="str">
        <f t="shared" si="9"/>
        <v/>
      </c>
      <c r="N89" s="36"/>
      <c r="O89" s="35"/>
      <c r="P89" s="42"/>
      <c r="Q89" s="40" t="str">
        <f t="shared" si="10"/>
        <v/>
      </c>
      <c r="R89" s="34" t="str">
        <f t="shared" ca="1" si="11"/>
        <v/>
      </c>
    </row>
    <row r="90" spans="2:18" ht="15" customHeight="1" x14ac:dyDescent="0.25">
      <c r="B90" s="25" t="str">
        <f>IF($C90="","",COUNT($C$20:$C90))</f>
        <v/>
      </c>
      <c r="C90" s="26"/>
      <c r="D90" s="27"/>
      <c r="E90" s="27"/>
      <c r="F90" s="27"/>
      <c r="G90" s="27"/>
      <c r="H90" s="27"/>
      <c r="I90" s="28"/>
      <c r="J90" s="29"/>
      <c r="K90" s="30"/>
      <c r="L90" s="31" t="str">
        <f t="shared" si="8"/>
        <v/>
      </c>
      <c r="M90" s="32" t="str">
        <f t="shared" si="9"/>
        <v/>
      </c>
      <c r="N90" s="27"/>
      <c r="O90" s="26"/>
      <c r="P90" s="33"/>
      <c r="Q90" s="31" t="str">
        <f t="shared" si="10"/>
        <v/>
      </c>
      <c r="R90" s="25" t="str">
        <f t="shared" ca="1" si="11"/>
        <v/>
      </c>
    </row>
    <row r="91" spans="2:18" ht="15" customHeight="1" x14ac:dyDescent="0.25">
      <c r="B91" s="34" t="str">
        <f>IF($C91="","",COUNT($C$20:$C91))</f>
        <v/>
      </c>
      <c r="C91" s="35"/>
      <c r="D91" s="36"/>
      <c r="E91" s="36"/>
      <c r="F91" s="36"/>
      <c r="G91" s="36"/>
      <c r="H91" s="36"/>
      <c r="I91" s="37"/>
      <c r="J91" s="38"/>
      <c r="K91" s="39"/>
      <c r="L91" s="40" t="str">
        <f t="shared" si="8"/>
        <v/>
      </c>
      <c r="M91" s="41" t="str">
        <f t="shared" si="9"/>
        <v/>
      </c>
      <c r="N91" s="36"/>
      <c r="O91" s="35"/>
      <c r="P91" s="42"/>
      <c r="Q91" s="40" t="str">
        <f t="shared" si="10"/>
        <v/>
      </c>
      <c r="R91" s="34" t="str">
        <f t="shared" ca="1" si="11"/>
        <v/>
      </c>
    </row>
    <row r="92" spans="2:18" ht="15" customHeight="1" x14ac:dyDescent="0.25">
      <c r="B92" s="25" t="str">
        <f>IF($C92="","",COUNT($C$20:$C92))</f>
        <v/>
      </c>
      <c r="C92" s="26"/>
      <c r="D92" s="27"/>
      <c r="E92" s="27"/>
      <c r="F92" s="27"/>
      <c r="G92" s="27"/>
      <c r="H92" s="27"/>
      <c r="I92" s="28"/>
      <c r="J92" s="29"/>
      <c r="K92" s="30"/>
      <c r="L92" s="31" t="str">
        <f t="shared" si="8"/>
        <v/>
      </c>
      <c r="M92" s="32" t="str">
        <f t="shared" si="9"/>
        <v/>
      </c>
      <c r="N92" s="27"/>
      <c r="O92" s="26"/>
      <c r="P92" s="33"/>
      <c r="Q92" s="31" t="str">
        <f t="shared" si="10"/>
        <v/>
      </c>
      <c r="R92" s="25" t="str">
        <f t="shared" ca="1" si="11"/>
        <v/>
      </c>
    </row>
    <row r="93" spans="2:18" ht="15" customHeight="1" x14ac:dyDescent="0.25">
      <c r="B93" s="34" t="str">
        <f>IF($C93="","",COUNT($C$20:$C93))</f>
        <v/>
      </c>
      <c r="C93" s="35"/>
      <c r="D93" s="36"/>
      <c r="E93" s="36"/>
      <c r="F93" s="36"/>
      <c r="G93" s="36"/>
      <c r="H93" s="36"/>
      <c r="I93" s="37"/>
      <c r="J93" s="38"/>
      <c r="K93" s="39"/>
      <c r="L93" s="40" t="str">
        <f t="shared" si="8"/>
        <v/>
      </c>
      <c r="M93" s="41" t="str">
        <f t="shared" si="9"/>
        <v/>
      </c>
      <c r="N93" s="36"/>
      <c r="O93" s="35"/>
      <c r="P93" s="42"/>
      <c r="Q93" s="40" t="str">
        <f t="shared" si="10"/>
        <v/>
      </c>
      <c r="R93" s="34" t="str">
        <f t="shared" ca="1" si="11"/>
        <v/>
      </c>
    </row>
    <row r="94" spans="2:18" ht="15" customHeight="1" x14ac:dyDescent="0.25">
      <c r="B94" s="25" t="str">
        <f>IF($C94="","",COUNT($C$20:$C94))</f>
        <v/>
      </c>
      <c r="C94" s="26"/>
      <c r="D94" s="27"/>
      <c r="E94" s="27"/>
      <c r="F94" s="27"/>
      <c r="G94" s="27"/>
      <c r="H94" s="27"/>
      <c r="I94" s="28"/>
      <c r="J94" s="29"/>
      <c r="K94" s="30"/>
      <c r="L94" s="31" t="str">
        <f t="shared" si="8"/>
        <v/>
      </c>
      <c r="M94" s="32" t="str">
        <f t="shared" si="9"/>
        <v/>
      </c>
      <c r="N94" s="27"/>
      <c r="O94" s="26"/>
      <c r="P94" s="33"/>
      <c r="Q94" s="31" t="str">
        <f t="shared" si="10"/>
        <v/>
      </c>
      <c r="R94" s="25" t="str">
        <f t="shared" ca="1" si="11"/>
        <v/>
      </c>
    </row>
    <row r="95" spans="2:18" ht="15" customHeight="1" x14ac:dyDescent="0.25">
      <c r="B95" s="34" t="str">
        <f>IF($C95="","",COUNT($C$20:$C95))</f>
        <v/>
      </c>
      <c r="C95" s="35"/>
      <c r="D95" s="36"/>
      <c r="E95" s="36"/>
      <c r="F95" s="36"/>
      <c r="G95" s="36"/>
      <c r="H95" s="36"/>
      <c r="I95" s="37"/>
      <c r="J95" s="38"/>
      <c r="K95" s="39"/>
      <c r="L95" s="40" t="str">
        <f t="shared" si="8"/>
        <v/>
      </c>
      <c r="M95" s="41" t="str">
        <f t="shared" si="9"/>
        <v/>
      </c>
      <c r="N95" s="36"/>
      <c r="O95" s="35"/>
      <c r="P95" s="42"/>
      <c r="Q95" s="40" t="str">
        <f t="shared" si="10"/>
        <v/>
      </c>
      <c r="R95" s="34" t="str">
        <f t="shared" ca="1" si="11"/>
        <v/>
      </c>
    </row>
    <row r="96" spans="2:18" ht="15" customHeight="1" x14ac:dyDescent="0.25">
      <c r="B96" s="25" t="str">
        <f>IF($C96="","",COUNT($C$20:$C96))</f>
        <v/>
      </c>
      <c r="C96" s="26"/>
      <c r="D96" s="27"/>
      <c r="E96" s="27"/>
      <c r="F96" s="27"/>
      <c r="G96" s="27"/>
      <c r="H96" s="27"/>
      <c r="I96" s="28"/>
      <c r="J96" s="29"/>
      <c r="K96" s="30"/>
      <c r="L96" s="31" t="str">
        <f t="shared" si="8"/>
        <v/>
      </c>
      <c r="M96" s="32" t="str">
        <f t="shared" si="9"/>
        <v/>
      </c>
      <c r="N96" s="27"/>
      <c r="O96" s="26"/>
      <c r="P96" s="33"/>
      <c r="Q96" s="31" t="str">
        <f t="shared" si="10"/>
        <v/>
      </c>
      <c r="R96" s="25" t="str">
        <f t="shared" ca="1" si="11"/>
        <v/>
      </c>
    </row>
    <row r="97" spans="2:18" ht="15" customHeight="1" x14ac:dyDescent="0.25">
      <c r="B97" s="34" t="str">
        <f>IF($C97="","",COUNT($C$20:$C97))</f>
        <v/>
      </c>
      <c r="C97" s="35"/>
      <c r="D97" s="36"/>
      <c r="E97" s="36"/>
      <c r="F97" s="36"/>
      <c r="G97" s="36"/>
      <c r="H97" s="36"/>
      <c r="I97" s="37"/>
      <c r="J97" s="38"/>
      <c r="K97" s="39"/>
      <c r="L97" s="40" t="str">
        <f t="shared" si="8"/>
        <v/>
      </c>
      <c r="M97" s="41" t="str">
        <f t="shared" si="9"/>
        <v/>
      </c>
      <c r="N97" s="36"/>
      <c r="O97" s="35"/>
      <c r="P97" s="42"/>
      <c r="Q97" s="40" t="str">
        <f t="shared" si="10"/>
        <v/>
      </c>
      <c r="R97" s="34" t="str">
        <f t="shared" ca="1" si="11"/>
        <v/>
      </c>
    </row>
    <row r="98" spans="2:18" ht="15" customHeight="1" x14ac:dyDescent="0.25">
      <c r="B98" s="25" t="str">
        <f>IF($C98="","",COUNT($C$20:$C98))</f>
        <v/>
      </c>
      <c r="C98" s="26"/>
      <c r="D98" s="27"/>
      <c r="E98" s="27"/>
      <c r="F98" s="27"/>
      <c r="G98" s="27"/>
      <c r="H98" s="27"/>
      <c r="I98" s="28"/>
      <c r="J98" s="29"/>
      <c r="K98" s="30"/>
      <c r="L98" s="31" t="str">
        <f t="shared" si="8"/>
        <v/>
      </c>
      <c r="M98" s="32" t="str">
        <f t="shared" si="9"/>
        <v/>
      </c>
      <c r="N98" s="27"/>
      <c r="O98" s="26"/>
      <c r="P98" s="33"/>
      <c r="Q98" s="31" t="str">
        <f t="shared" si="10"/>
        <v/>
      </c>
      <c r="R98" s="25" t="str">
        <f t="shared" ca="1" si="11"/>
        <v/>
      </c>
    </row>
    <row r="99" spans="2:18" ht="15" customHeight="1" x14ac:dyDescent="0.25">
      <c r="B99" s="34" t="str">
        <f>IF($C99="","",COUNT($C$20:$C99))</f>
        <v/>
      </c>
      <c r="C99" s="35"/>
      <c r="D99" s="36"/>
      <c r="E99" s="36"/>
      <c r="F99" s="36"/>
      <c r="G99" s="36"/>
      <c r="H99" s="36"/>
      <c r="I99" s="37"/>
      <c r="J99" s="38"/>
      <c r="K99" s="39"/>
      <c r="L99" s="40" t="str">
        <f t="shared" si="8"/>
        <v/>
      </c>
      <c r="M99" s="41" t="str">
        <f t="shared" si="9"/>
        <v/>
      </c>
      <c r="N99" s="36"/>
      <c r="O99" s="35"/>
      <c r="P99" s="42"/>
      <c r="Q99" s="40" t="str">
        <f t="shared" si="10"/>
        <v/>
      </c>
      <c r="R99" s="34" t="str">
        <f t="shared" ca="1" si="11"/>
        <v/>
      </c>
    </row>
    <row r="100" spans="2:18" ht="15" customHeight="1" x14ac:dyDescent="0.25">
      <c r="B100" s="25" t="str">
        <f>IF($C100="","",COUNT($C$20:$C100))</f>
        <v/>
      </c>
      <c r="C100" s="26"/>
      <c r="D100" s="27"/>
      <c r="E100" s="27"/>
      <c r="F100" s="27"/>
      <c r="G100" s="27"/>
      <c r="H100" s="27"/>
      <c r="I100" s="28"/>
      <c r="J100" s="29"/>
      <c r="K100" s="30"/>
      <c r="L100" s="31" t="str">
        <f t="shared" si="8"/>
        <v/>
      </c>
      <c r="M100" s="32" t="str">
        <f t="shared" si="9"/>
        <v/>
      </c>
      <c r="N100" s="27"/>
      <c r="O100" s="26"/>
      <c r="P100" s="33"/>
      <c r="Q100" s="31" t="str">
        <f t="shared" si="10"/>
        <v/>
      </c>
      <c r="R100" s="25" t="str">
        <f t="shared" ca="1" si="11"/>
        <v/>
      </c>
    </row>
    <row r="101" spans="2:18" ht="15" customHeight="1" x14ac:dyDescent="0.25">
      <c r="B101" s="34" t="str">
        <f>IF($C101="","",COUNT($C$20:$C101))</f>
        <v/>
      </c>
      <c r="C101" s="35"/>
      <c r="D101" s="36"/>
      <c r="E101" s="36"/>
      <c r="F101" s="36"/>
      <c r="G101" s="36"/>
      <c r="H101" s="36"/>
      <c r="I101" s="37"/>
      <c r="J101" s="38"/>
      <c r="K101" s="39"/>
      <c r="L101" s="40" t="str">
        <f t="shared" si="8"/>
        <v/>
      </c>
      <c r="M101" s="41" t="str">
        <f t="shared" si="9"/>
        <v/>
      </c>
      <c r="N101" s="36"/>
      <c r="O101" s="35"/>
      <c r="P101" s="42"/>
      <c r="Q101" s="40" t="str">
        <f t="shared" si="10"/>
        <v/>
      </c>
      <c r="R101" s="34" t="str">
        <f t="shared" ca="1" si="11"/>
        <v/>
      </c>
    </row>
    <row r="102" spans="2:18" ht="15" customHeight="1" x14ac:dyDescent="0.25">
      <c r="B102" s="25" t="str">
        <f>IF($C102="","",COUNT($C$20:$C102))</f>
        <v/>
      </c>
      <c r="C102" s="26"/>
      <c r="D102" s="27"/>
      <c r="E102" s="27"/>
      <c r="F102" s="27"/>
      <c r="G102" s="27"/>
      <c r="H102" s="27"/>
      <c r="I102" s="28"/>
      <c r="J102" s="29"/>
      <c r="K102" s="30"/>
      <c r="L102" s="31" t="str">
        <f t="shared" si="8"/>
        <v/>
      </c>
      <c r="M102" s="32" t="str">
        <f t="shared" si="9"/>
        <v/>
      </c>
      <c r="N102" s="27"/>
      <c r="O102" s="26"/>
      <c r="P102" s="33"/>
      <c r="Q102" s="31" t="str">
        <f t="shared" si="10"/>
        <v/>
      </c>
      <c r="R102" s="25" t="str">
        <f t="shared" ca="1" si="11"/>
        <v/>
      </c>
    </row>
    <row r="103" spans="2:18" ht="15" customHeight="1" x14ac:dyDescent="0.25">
      <c r="B103" s="34" t="str">
        <f>IF($C103="","",COUNT($C$20:$C103))</f>
        <v/>
      </c>
      <c r="C103" s="35"/>
      <c r="D103" s="36"/>
      <c r="E103" s="36"/>
      <c r="F103" s="36"/>
      <c r="G103" s="36"/>
      <c r="H103" s="36"/>
      <c r="I103" s="37"/>
      <c r="J103" s="38"/>
      <c r="K103" s="39"/>
      <c r="L103" s="40" t="str">
        <f t="shared" si="8"/>
        <v/>
      </c>
      <c r="M103" s="41" t="str">
        <f t="shared" si="9"/>
        <v/>
      </c>
      <c r="N103" s="36"/>
      <c r="O103" s="35"/>
      <c r="P103" s="42"/>
      <c r="Q103" s="40" t="str">
        <f t="shared" si="10"/>
        <v/>
      </c>
      <c r="R103" s="34" t="str">
        <f t="shared" ca="1" si="11"/>
        <v/>
      </c>
    </row>
    <row r="104" spans="2:18" ht="15" customHeight="1" x14ac:dyDescent="0.25">
      <c r="B104" s="25" t="str">
        <f>IF($C104="","",COUNT($C$20:$C104))</f>
        <v/>
      </c>
      <c r="C104" s="26"/>
      <c r="D104" s="27"/>
      <c r="E104" s="27"/>
      <c r="F104" s="27"/>
      <c r="G104" s="27"/>
      <c r="H104" s="27"/>
      <c r="I104" s="28"/>
      <c r="J104" s="29"/>
      <c r="K104" s="30"/>
      <c r="L104" s="31" t="str">
        <f t="shared" si="8"/>
        <v/>
      </c>
      <c r="M104" s="32" t="str">
        <f t="shared" si="9"/>
        <v/>
      </c>
      <c r="N104" s="27"/>
      <c r="O104" s="26"/>
      <c r="P104" s="33"/>
      <c r="Q104" s="31" t="str">
        <f t="shared" si="10"/>
        <v/>
      </c>
      <c r="R104" s="25" t="str">
        <f t="shared" ca="1" si="11"/>
        <v/>
      </c>
    </row>
    <row r="105" spans="2:18" ht="15" customHeight="1" x14ac:dyDescent="0.25">
      <c r="B105" s="34" t="str">
        <f>IF($C105="","",COUNT($C$20:$C105))</f>
        <v/>
      </c>
      <c r="C105" s="35"/>
      <c r="D105" s="36"/>
      <c r="E105" s="36"/>
      <c r="F105" s="36"/>
      <c r="G105" s="36"/>
      <c r="H105" s="36"/>
      <c r="I105" s="37"/>
      <c r="J105" s="38"/>
      <c r="K105" s="39"/>
      <c r="L105" s="40" t="str">
        <f t="shared" si="8"/>
        <v/>
      </c>
      <c r="M105" s="41" t="str">
        <f t="shared" si="9"/>
        <v/>
      </c>
      <c r="N105" s="36"/>
      <c r="O105" s="35"/>
      <c r="P105" s="42"/>
      <c r="Q105" s="40" t="str">
        <f t="shared" si="10"/>
        <v/>
      </c>
      <c r="R105" s="34" t="str">
        <f t="shared" ca="1" si="11"/>
        <v/>
      </c>
    </row>
    <row r="106" spans="2:18" ht="15" customHeight="1" x14ac:dyDescent="0.25">
      <c r="B106" s="25" t="str">
        <f>IF($C106="","",COUNT($C$20:$C106))</f>
        <v/>
      </c>
      <c r="C106" s="26"/>
      <c r="D106" s="27"/>
      <c r="E106" s="27"/>
      <c r="F106" s="27"/>
      <c r="G106" s="27"/>
      <c r="H106" s="27"/>
      <c r="I106" s="28"/>
      <c r="J106" s="29"/>
      <c r="K106" s="30"/>
      <c r="L106" s="31" t="str">
        <f t="shared" si="8"/>
        <v/>
      </c>
      <c r="M106" s="32" t="str">
        <f t="shared" si="9"/>
        <v/>
      </c>
      <c r="N106" s="27"/>
      <c r="O106" s="26"/>
      <c r="P106" s="33"/>
      <c r="Q106" s="31" t="str">
        <f t="shared" si="10"/>
        <v/>
      </c>
      <c r="R106" s="25" t="str">
        <f t="shared" ca="1" si="11"/>
        <v/>
      </c>
    </row>
    <row r="107" spans="2:18" ht="15" customHeight="1" x14ac:dyDescent="0.25">
      <c r="B107" s="34" t="str">
        <f>IF($C107="","",COUNT($C$20:$C107))</f>
        <v/>
      </c>
      <c r="C107" s="35"/>
      <c r="D107" s="36"/>
      <c r="E107" s="36"/>
      <c r="F107" s="36"/>
      <c r="G107" s="36"/>
      <c r="H107" s="36"/>
      <c r="I107" s="37"/>
      <c r="J107" s="38"/>
      <c r="K107" s="39"/>
      <c r="L107" s="40" t="str">
        <f t="shared" si="8"/>
        <v/>
      </c>
      <c r="M107" s="41" t="str">
        <f t="shared" si="9"/>
        <v/>
      </c>
      <c r="N107" s="36"/>
      <c r="O107" s="35"/>
      <c r="P107" s="42"/>
      <c r="Q107" s="40" t="str">
        <f t="shared" si="10"/>
        <v/>
      </c>
      <c r="R107" s="34" t="str">
        <f t="shared" ca="1" si="11"/>
        <v/>
      </c>
    </row>
    <row r="108" spans="2:18" ht="15" customHeight="1" x14ac:dyDescent="0.25">
      <c r="B108" s="25" t="str">
        <f>IF($C108="","",COUNT($C$20:$C108))</f>
        <v/>
      </c>
      <c r="C108" s="26"/>
      <c r="D108" s="27"/>
      <c r="E108" s="27"/>
      <c r="F108" s="27"/>
      <c r="G108" s="27"/>
      <c r="H108" s="27"/>
      <c r="I108" s="28"/>
      <c r="J108" s="29"/>
      <c r="K108" s="30"/>
      <c r="L108" s="31" t="str">
        <f t="shared" si="8"/>
        <v/>
      </c>
      <c r="M108" s="32" t="str">
        <f t="shared" si="9"/>
        <v/>
      </c>
      <c r="N108" s="27"/>
      <c r="O108" s="26"/>
      <c r="P108" s="33"/>
      <c r="Q108" s="31" t="str">
        <f t="shared" si="10"/>
        <v/>
      </c>
      <c r="R108" s="25" t="str">
        <f t="shared" ca="1" si="11"/>
        <v/>
      </c>
    </row>
    <row r="109" spans="2:18" ht="15" customHeight="1" x14ac:dyDescent="0.25">
      <c r="B109" s="34" t="str">
        <f>IF($C109="","",COUNT($C$20:$C109))</f>
        <v/>
      </c>
      <c r="C109" s="35"/>
      <c r="D109" s="36"/>
      <c r="E109" s="36"/>
      <c r="F109" s="36"/>
      <c r="G109" s="36"/>
      <c r="H109" s="36"/>
      <c r="I109" s="37"/>
      <c r="J109" s="38"/>
      <c r="K109" s="39"/>
      <c r="L109" s="40" t="str">
        <f t="shared" si="8"/>
        <v/>
      </c>
      <c r="M109" s="41" t="str">
        <f t="shared" si="9"/>
        <v/>
      </c>
      <c r="N109" s="36"/>
      <c r="O109" s="35"/>
      <c r="P109" s="42"/>
      <c r="Q109" s="40" t="str">
        <f t="shared" si="10"/>
        <v/>
      </c>
      <c r="R109" s="34" t="str">
        <f t="shared" ca="1" si="11"/>
        <v/>
      </c>
    </row>
    <row r="110" spans="2:18" ht="15" customHeight="1" x14ac:dyDescent="0.25">
      <c r="B110" s="25" t="str">
        <f>IF($C110="","",COUNT($C$20:$C110))</f>
        <v/>
      </c>
      <c r="C110" s="26"/>
      <c r="D110" s="27"/>
      <c r="E110" s="27"/>
      <c r="F110" s="27"/>
      <c r="G110" s="27"/>
      <c r="H110" s="27"/>
      <c r="I110" s="28"/>
      <c r="J110" s="29"/>
      <c r="K110" s="30"/>
      <c r="L110" s="31" t="str">
        <f t="shared" si="8"/>
        <v/>
      </c>
      <c r="M110" s="32" t="str">
        <f t="shared" si="9"/>
        <v/>
      </c>
      <c r="N110" s="27"/>
      <c r="O110" s="26"/>
      <c r="P110" s="33"/>
      <c r="Q110" s="31" t="str">
        <f t="shared" si="10"/>
        <v/>
      </c>
      <c r="R110" s="25" t="str">
        <f t="shared" ca="1" si="11"/>
        <v/>
      </c>
    </row>
    <row r="111" spans="2:18" ht="15" customHeight="1" x14ac:dyDescent="0.25">
      <c r="B111" s="34" t="str">
        <f>IF($C111="","",COUNT($C$20:$C111))</f>
        <v/>
      </c>
      <c r="C111" s="35"/>
      <c r="D111" s="36"/>
      <c r="E111" s="36"/>
      <c r="F111" s="36"/>
      <c r="G111" s="36"/>
      <c r="H111" s="36"/>
      <c r="I111" s="37"/>
      <c r="J111" s="38"/>
      <c r="K111" s="39"/>
      <c r="L111" s="40" t="str">
        <f t="shared" si="8"/>
        <v/>
      </c>
      <c r="M111" s="41" t="str">
        <f t="shared" si="9"/>
        <v/>
      </c>
      <c r="N111" s="36"/>
      <c r="O111" s="35"/>
      <c r="P111" s="42"/>
      <c r="Q111" s="40" t="str">
        <f t="shared" si="10"/>
        <v/>
      </c>
      <c r="R111" s="34" t="str">
        <f t="shared" ca="1" si="11"/>
        <v/>
      </c>
    </row>
    <row r="112" spans="2:18" ht="15" customHeight="1" x14ac:dyDescent="0.25">
      <c r="B112" s="25" t="str">
        <f>IF($C112="","",COUNT($C$20:$C112))</f>
        <v/>
      </c>
      <c r="C112" s="26"/>
      <c r="D112" s="27"/>
      <c r="E112" s="27"/>
      <c r="F112" s="27"/>
      <c r="G112" s="27"/>
      <c r="H112" s="27"/>
      <c r="I112" s="28"/>
      <c r="J112" s="29"/>
      <c r="K112" s="30"/>
      <c r="L112" s="31" t="str">
        <f t="shared" si="8"/>
        <v/>
      </c>
      <c r="M112" s="32" t="str">
        <f t="shared" si="9"/>
        <v/>
      </c>
      <c r="N112" s="27"/>
      <c r="O112" s="26"/>
      <c r="P112" s="33"/>
      <c r="Q112" s="31" t="str">
        <f t="shared" si="10"/>
        <v/>
      </c>
      <c r="R112" s="25" t="str">
        <f t="shared" ca="1" si="11"/>
        <v/>
      </c>
    </row>
    <row r="113" spans="2:18" ht="15" customHeight="1" x14ac:dyDescent="0.25">
      <c r="B113" s="34" t="str">
        <f>IF($C113="","",COUNT($C$20:$C113))</f>
        <v/>
      </c>
      <c r="C113" s="35"/>
      <c r="D113" s="36"/>
      <c r="E113" s="36"/>
      <c r="F113" s="36"/>
      <c r="G113" s="36"/>
      <c r="H113" s="36"/>
      <c r="I113" s="37"/>
      <c r="J113" s="38"/>
      <c r="K113" s="39"/>
      <c r="L113" s="40" t="str">
        <f t="shared" si="8"/>
        <v/>
      </c>
      <c r="M113" s="41" t="str">
        <f t="shared" si="9"/>
        <v/>
      </c>
      <c r="N113" s="36"/>
      <c r="O113" s="35"/>
      <c r="P113" s="42"/>
      <c r="Q113" s="40" t="str">
        <f t="shared" si="10"/>
        <v/>
      </c>
      <c r="R113" s="34" t="str">
        <f t="shared" ca="1" si="11"/>
        <v/>
      </c>
    </row>
    <row r="114" spans="2:18" ht="15" customHeight="1" x14ac:dyDescent="0.25">
      <c r="B114" s="25" t="str">
        <f>IF($C114="","",COUNT($C$20:$C114))</f>
        <v/>
      </c>
      <c r="C114" s="26"/>
      <c r="D114" s="27"/>
      <c r="E114" s="27"/>
      <c r="F114" s="27"/>
      <c r="G114" s="27"/>
      <c r="H114" s="27"/>
      <c r="I114" s="28"/>
      <c r="J114" s="29"/>
      <c r="K114" s="30"/>
      <c r="L114" s="31" t="str">
        <f t="shared" si="8"/>
        <v/>
      </c>
      <c r="M114" s="32" t="str">
        <f t="shared" si="9"/>
        <v/>
      </c>
      <c r="N114" s="27"/>
      <c r="O114" s="26"/>
      <c r="P114" s="33"/>
      <c r="Q114" s="31" t="str">
        <f t="shared" si="10"/>
        <v/>
      </c>
      <c r="R114" s="25" t="str">
        <f t="shared" ca="1" si="11"/>
        <v/>
      </c>
    </row>
    <row r="115" spans="2:18" ht="15" customHeight="1" x14ac:dyDescent="0.25">
      <c r="B115" s="34" t="str">
        <f>IF($C115="","",COUNT($C$20:$C115))</f>
        <v/>
      </c>
      <c r="C115" s="35"/>
      <c r="D115" s="36"/>
      <c r="E115" s="36"/>
      <c r="F115" s="36"/>
      <c r="G115" s="36"/>
      <c r="H115" s="36"/>
      <c r="I115" s="37"/>
      <c r="J115" s="38"/>
      <c r="K115" s="39"/>
      <c r="L115" s="40" t="str">
        <f t="shared" si="8"/>
        <v/>
      </c>
      <c r="M115" s="41" t="str">
        <f t="shared" si="9"/>
        <v/>
      </c>
      <c r="N115" s="36"/>
      <c r="O115" s="35"/>
      <c r="P115" s="42"/>
      <c r="Q115" s="40" t="str">
        <f t="shared" si="10"/>
        <v/>
      </c>
      <c r="R115" s="34" t="str">
        <f t="shared" ca="1" si="11"/>
        <v/>
      </c>
    </row>
    <row r="116" spans="2:18" ht="15" customHeight="1" x14ac:dyDescent="0.25">
      <c r="B116" s="25" t="str">
        <f>IF($C116="","",COUNT($C$20:$C116))</f>
        <v/>
      </c>
      <c r="C116" s="26"/>
      <c r="D116" s="27"/>
      <c r="E116" s="27"/>
      <c r="F116" s="27"/>
      <c r="G116" s="27"/>
      <c r="H116" s="27"/>
      <c r="I116" s="28"/>
      <c r="J116" s="29"/>
      <c r="K116" s="30"/>
      <c r="L116" s="31" t="str">
        <f t="shared" si="8"/>
        <v/>
      </c>
      <c r="M116" s="32" t="str">
        <f t="shared" si="9"/>
        <v/>
      </c>
      <c r="N116" s="27"/>
      <c r="O116" s="26"/>
      <c r="P116" s="33"/>
      <c r="Q116" s="31" t="str">
        <f t="shared" si="10"/>
        <v/>
      </c>
      <c r="R116" s="25" t="str">
        <f t="shared" ca="1" si="11"/>
        <v/>
      </c>
    </row>
    <row r="117" spans="2:18" ht="15" customHeight="1" x14ac:dyDescent="0.25">
      <c r="B117" s="34" t="str">
        <f>IF($C117="","",COUNT($C$20:$C117))</f>
        <v/>
      </c>
      <c r="C117" s="35"/>
      <c r="D117" s="36"/>
      <c r="E117" s="36"/>
      <c r="F117" s="36"/>
      <c r="G117" s="36"/>
      <c r="H117" s="36"/>
      <c r="I117" s="37"/>
      <c r="J117" s="38"/>
      <c r="K117" s="39"/>
      <c r="L117" s="40" t="str">
        <f t="shared" si="8"/>
        <v/>
      </c>
      <c r="M117" s="41" t="str">
        <f t="shared" si="9"/>
        <v/>
      </c>
      <c r="N117" s="36"/>
      <c r="O117" s="35"/>
      <c r="P117" s="42"/>
      <c r="Q117" s="40" t="str">
        <f t="shared" si="10"/>
        <v/>
      </c>
      <c r="R117" s="34" t="str">
        <f t="shared" ca="1" si="11"/>
        <v/>
      </c>
    </row>
    <row r="118" spans="2:18" ht="15" customHeight="1" x14ac:dyDescent="0.25">
      <c r="B118" s="25" t="str">
        <f>IF($C118="","",COUNT($C$20:$C118))</f>
        <v/>
      </c>
      <c r="C118" s="26"/>
      <c r="D118" s="27"/>
      <c r="E118" s="27"/>
      <c r="F118" s="27"/>
      <c r="G118" s="27"/>
      <c r="H118" s="27"/>
      <c r="I118" s="28"/>
      <c r="J118" s="29"/>
      <c r="K118" s="30"/>
      <c r="L118" s="31" t="str">
        <f t="shared" si="8"/>
        <v/>
      </c>
      <c r="M118" s="32" t="str">
        <f t="shared" si="9"/>
        <v/>
      </c>
      <c r="N118" s="27"/>
      <c r="O118" s="26"/>
      <c r="P118" s="33"/>
      <c r="Q118" s="31" t="str">
        <f t="shared" si="10"/>
        <v/>
      </c>
      <c r="R118" s="25" t="str">
        <f t="shared" ca="1" si="11"/>
        <v/>
      </c>
    </row>
    <row r="119" spans="2:18" ht="15" customHeight="1" x14ac:dyDescent="0.25">
      <c r="B119" s="34" t="str">
        <f>IF($C119="","",COUNT($C$20:$C119))</f>
        <v/>
      </c>
      <c r="C119" s="35"/>
      <c r="D119" s="36"/>
      <c r="E119" s="36"/>
      <c r="F119" s="36"/>
      <c r="G119" s="36"/>
      <c r="H119" s="36"/>
      <c r="I119" s="37"/>
      <c r="J119" s="38"/>
      <c r="K119" s="39"/>
      <c r="L119" s="40" t="str">
        <f t="shared" si="8"/>
        <v/>
      </c>
      <c r="M119" s="41" t="str">
        <f t="shared" si="9"/>
        <v/>
      </c>
      <c r="N119" s="36"/>
      <c r="O119" s="35"/>
      <c r="P119" s="42"/>
      <c r="Q119" s="40" t="str">
        <f t="shared" si="10"/>
        <v/>
      </c>
      <c r="R119" s="34" t="str">
        <f t="shared" ca="1" si="11"/>
        <v/>
      </c>
    </row>
    <row r="120" spans="2:18" ht="18.75" customHeight="1" x14ac:dyDescent="0.25">
      <c r="B120" s="75" t="s">
        <v>140</v>
      </c>
      <c r="C120" s="75"/>
      <c r="D120" s="75"/>
      <c r="E120" s="75"/>
      <c r="F120" s="75"/>
      <c r="G120" s="75"/>
      <c r="H120" s="75"/>
      <c r="I120" s="75"/>
      <c r="J120" s="44">
        <f>SUM(J20:J119)</f>
        <v>59536.100000000006</v>
      </c>
      <c r="K120" s="45"/>
      <c r="L120" s="44">
        <f>SUM(L20:L119)</f>
        <v>10137.700000000003</v>
      </c>
      <c r="M120" s="44">
        <f>SUM(M20:M119)</f>
        <v>69673.8</v>
      </c>
      <c r="N120" s="45"/>
      <c r="O120" s="45"/>
      <c r="P120" s="44">
        <f>SUM(P20:P119)</f>
        <v>54419</v>
      </c>
      <c r="Q120" s="44">
        <f>SUM(Q20:Q119)</f>
        <v>15254.800000000001</v>
      </c>
      <c r="R120" s="46" t="str">
        <f>COUNT($J$20:$J$119)&amp;" Zeilen"</f>
        <v>26 Zeilen</v>
      </c>
    </row>
    <row r="122" spans="2:18" ht="18" customHeight="1" x14ac:dyDescent="0.25">
      <c r="B122" s="17" t="s">
        <v>141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2:18" ht="13.5" customHeight="1" x14ac:dyDescent="0.25">
      <c r="B123" s="76" t="s">
        <v>142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</row>
    <row r="124" spans="2:18" ht="13.5" customHeight="1" x14ac:dyDescent="0.25">
      <c r="B124" s="76" t="s">
        <v>143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</row>
    <row r="125" spans="2:18" ht="13.5" customHeight="1" x14ac:dyDescent="0.25">
      <c r="B125" s="76" t="s">
        <v>144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</row>
    <row r="126" spans="2:18" ht="13.5" customHeight="1" x14ac:dyDescent="0.25">
      <c r="B126" s="76" t="s">
        <v>145</v>
      </c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</row>
    <row r="127" spans="2:18" ht="13.5" customHeight="1" x14ac:dyDescent="0.25">
      <c r="B127" s="76" t="s">
        <v>146</v>
      </c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</row>
    <row r="128" spans="2:18" ht="13.5" customHeight="1" x14ac:dyDescent="0.25">
      <c r="B128" s="76" t="s">
        <v>147</v>
      </c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</row>
  </sheetData>
  <autoFilter ref="B19:R119" xr:uid="{00000000-0009-0000-0000-000000000000}"/>
  <mergeCells count="40">
    <mergeCell ref="B127:R127"/>
    <mergeCell ref="B128:R128"/>
    <mergeCell ref="B120:I120"/>
    <mergeCell ref="B123:R123"/>
    <mergeCell ref="B124:R124"/>
    <mergeCell ref="B125:R125"/>
    <mergeCell ref="B126:R126"/>
    <mergeCell ref="O15:P15"/>
    <mergeCell ref="Q15:R15"/>
    <mergeCell ref="B16:D16"/>
    <mergeCell ref="F16:G16"/>
    <mergeCell ref="H16:I16"/>
    <mergeCell ref="J16:L16"/>
    <mergeCell ref="M16:N16"/>
    <mergeCell ref="O16:P16"/>
    <mergeCell ref="Q16:R16"/>
    <mergeCell ref="B15:D15"/>
    <mergeCell ref="F15:G15"/>
    <mergeCell ref="H15:I15"/>
    <mergeCell ref="J15:L15"/>
    <mergeCell ref="M15:N15"/>
    <mergeCell ref="B9:D9"/>
    <mergeCell ref="E9:F9"/>
    <mergeCell ref="G9:I9"/>
    <mergeCell ref="J9:L9"/>
    <mergeCell ref="M9:R11"/>
    <mergeCell ref="B10:D10"/>
    <mergeCell ref="E10:F10"/>
    <mergeCell ref="G10:I10"/>
    <mergeCell ref="J10:L10"/>
    <mergeCell ref="B11:D11"/>
    <mergeCell ref="E11:F11"/>
    <mergeCell ref="G11:I11"/>
    <mergeCell ref="J11:L11"/>
    <mergeCell ref="B3:J3"/>
    <mergeCell ref="K3:R3"/>
    <mergeCell ref="B4:J4"/>
    <mergeCell ref="K4:R4"/>
    <mergeCell ref="B5:J5"/>
    <mergeCell ref="K5:R5"/>
  </mergeCells>
  <conditionalFormatting sqref="B20:R119">
    <cfRule type="expression" dxfId="6" priority="2">
      <formula>$R20="Überfällig"</formula>
    </cfRule>
  </conditionalFormatting>
  <conditionalFormatting sqref="I20:I119">
    <cfRule type="expression" dxfId="5" priority="6">
      <formula>$I20="Ausgabe"</formula>
    </cfRule>
  </conditionalFormatting>
  <conditionalFormatting sqref="M20:M119">
    <cfRule type="dataBar" priority="8">
      <dataBar>
        <cfvo type="num" val="0"/>
        <cfvo type="max"/>
        <color rgb="FFC3C9D1"/>
      </dataBar>
      <extLst>
        <ext xmlns:x14="http://schemas.microsoft.com/office/spreadsheetml/2009/9/main" uri="{B025F937-C7B1-47D3-B67F-A62EFF666E3E}">
          <x14:id>{C1FF0033-3530-42C4-B832-8B8F58855842}</x14:id>
        </ext>
      </extLst>
    </cfRule>
  </conditionalFormatting>
  <conditionalFormatting sqref="Q20:Q119">
    <cfRule type="cellIs" dxfId="4" priority="7" operator="greaterThan">
      <formula>0</formula>
    </cfRule>
  </conditionalFormatting>
  <conditionalFormatting sqref="R20:R119">
    <cfRule type="expression" dxfId="3" priority="3">
      <formula>$R20="Bezahlt"</formula>
    </cfRule>
    <cfRule type="expression" dxfId="2" priority="4">
      <formula>OR($R20="Offen",$R20="Teilzahlung")</formula>
    </cfRule>
    <cfRule type="expression" dxfId="1" priority="5">
      <formula>$R20="Überfällig"</formula>
    </cfRule>
  </conditionalFormatting>
  <dataValidations count="7">
    <dataValidation type="list" allowBlank="1" errorTitle="Ungültige Kategorie" error="Bitte einen Eintrag aus dem Blatt „Listen“ wählen." sqref="H20:H119" xr:uid="{00000000-0002-0000-0000-000000000000}">
      <formula1>Kategorien</formula1>
      <formula2>0</formula2>
    </dataValidation>
    <dataValidation type="list" allowBlank="1" errorTitle="Ungültiger Typ" error="Zulässig sind „Einnahme“ und „Ausgabe“." sqref="I20:I119" xr:uid="{00000000-0002-0000-0000-000001000000}">
      <formula1>Buchungsarten</formula1>
      <formula2>0</formula2>
    </dataValidation>
    <dataValidation type="list" allowBlank="1" errorTitle="Ungültiger Steuersatz" error="Zulässig sind 0 %, 7 % und 19 %." sqref="K20:K119" xr:uid="{00000000-0002-0000-0000-000002000000}">
      <formula1>Steuersaetze</formula1>
      <formula2>0</formula2>
    </dataValidation>
    <dataValidation type="list" allowBlank="1" errorTitle="Ungültige Zahlungsart" error="Bitte einen Eintrag aus dem Blatt „Listen“ wählen." sqref="N20:N119" xr:uid="{00000000-0002-0000-0000-000003000000}">
      <formula1>Zahlungsarten</formula1>
      <formula2>0</formula2>
    </dataValidation>
    <dataValidation type="list" allowBlank="1" errorTitle="Ungültige Kostenstelle" error="Bitte eine Kostenstelle aus dem Blatt „Listen“ wählen." sqref="G20:G119" xr:uid="{00000000-0002-0000-0000-000004000000}">
      <formula1>Kostenstellen</formula1>
      <formula2>0</formula2>
    </dataValidation>
    <dataValidation type="decimal" allowBlank="1" errorTitle="Ungültiger Betrag" error="Bitte einen Betrag als Zahl erfassen (Gutschriften negativ)." sqref="J20:J119 P20:P119" xr:uid="{00000000-0002-0000-0000-000005000000}">
      <formula1>-10000000</formula1>
      <formula2>10000000</formula2>
    </dataValidation>
    <dataValidation type="date" allowBlank="1" errorTitle="Ungültiges Datum" error="Bitte ein Datum im Format TT.MM.JJJJ erfassen." sqref="C20:C119 O20:O119" xr:uid="{00000000-0002-0000-0000-000006000000}">
      <formula1>DATE(2000,1,1)</formula1>
      <formula2>DATE(2099,12,31)</formula2>
    </dataValidation>
  </dataValidations>
  <pageMargins left="0.75" right="0.7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FF0033-3530-42C4-B832-8B8F58855842}">
            <x14:dataBar axisPosition="none">
              <x14:cfvo type="num">
                <xm:f>0</xm:f>
              </x14:cfvo>
              <x14:cfvo type="max"/>
              <x14:negativeFillColor rgb="FFC3C9D1"/>
            </x14:dataBar>
          </x14:cfRule>
          <xm:sqref>M20:M119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C1D2C"/>
    <pageSetUpPr fitToPage="1"/>
  </sheetPr>
  <dimension ref="B1:M63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" customWidth="1"/>
    <col min="2" max="2" width="25" customWidth="1"/>
    <col min="3" max="5" width="14" customWidth="1"/>
    <col min="6" max="6" width="12.42578125" customWidth="1"/>
    <col min="7" max="7" width="2.42578125" customWidth="1"/>
    <col min="8" max="8" width="25" customWidth="1"/>
    <col min="9" max="12" width="14" customWidth="1"/>
    <col min="13" max="13" width="12.42578125" customWidth="1"/>
    <col min="14" max="14" width="2" customWidth="1"/>
  </cols>
  <sheetData>
    <row r="1" spans="2:13" ht="4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2:13" ht="6.75" customHeight="1" x14ac:dyDescent="0.25"/>
    <row r="3" spans="2:13" ht="22.5" customHeight="1" x14ac:dyDescent="0.25">
      <c r="B3" s="14" t="s">
        <v>0</v>
      </c>
      <c r="C3" s="14"/>
      <c r="D3" s="14"/>
      <c r="E3" s="14"/>
      <c r="F3" s="14"/>
      <c r="G3" s="14"/>
      <c r="H3" s="13" t="s">
        <v>148</v>
      </c>
      <c r="I3" s="13"/>
      <c r="J3" s="13"/>
      <c r="K3" s="13"/>
      <c r="L3" s="13"/>
      <c r="M3" s="13"/>
    </row>
    <row r="4" spans="2:13" ht="13.5" customHeight="1" x14ac:dyDescent="0.25">
      <c r="B4" s="12" t="s">
        <v>2</v>
      </c>
      <c r="C4" s="12"/>
      <c r="D4" s="12"/>
      <c r="E4" s="12"/>
      <c r="F4" s="12"/>
      <c r="G4" s="12"/>
      <c r="H4" s="11" t="s">
        <v>149</v>
      </c>
      <c r="I4" s="11"/>
      <c r="J4" s="11"/>
      <c r="K4" s="11"/>
      <c r="L4" s="11"/>
      <c r="M4" s="11"/>
    </row>
    <row r="5" spans="2:13" ht="13.5" customHeight="1" x14ac:dyDescent="0.25">
      <c r="B5" s="12" t="s">
        <v>4</v>
      </c>
      <c r="C5" s="12"/>
      <c r="D5" s="12"/>
      <c r="E5" s="12"/>
      <c r="F5" s="12"/>
      <c r="G5" s="12"/>
      <c r="H5" s="11" t="str">
        <f ca="1">"Stand "&amp;RIGHT("0"&amp;DAY(TODAY()),2)&amp;"."&amp;RIGHT("0"&amp;MONTH(TODAY()),2)&amp;"."&amp;YEAR(TODAY())&amp;"  ·  Alle Beträge in Euro"</f>
        <v>Stand 21.08.2026  ·  Alle Beträge in Euro</v>
      </c>
      <c r="I5" s="11"/>
      <c r="J5" s="11"/>
      <c r="K5" s="11"/>
      <c r="L5" s="11"/>
      <c r="M5" s="11"/>
    </row>
    <row r="6" spans="2:13" ht="4.5" customHeigh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8" spans="2:13" ht="18" customHeight="1" x14ac:dyDescent="0.25">
      <c r="B8" s="17" t="s">
        <v>150</v>
      </c>
      <c r="C8" s="18"/>
      <c r="D8" s="18"/>
      <c r="E8" s="18"/>
      <c r="F8" s="18"/>
      <c r="H8" s="17" t="s">
        <v>151</v>
      </c>
      <c r="I8" s="18"/>
      <c r="J8" s="18"/>
      <c r="K8" s="18"/>
      <c r="L8" s="18"/>
      <c r="M8" s="18"/>
    </row>
    <row r="9" spans="2:13" ht="25.5" customHeight="1" x14ac:dyDescent="0.25">
      <c r="B9" s="23" t="s">
        <v>152</v>
      </c>
      <c r="C9" s="24" t="s">
        <v>153</v>
      </c>
      <c r="D9" s="24" t="s">
        <v>154</v>
      </c>
      <c r="E9" s="24" t="s">
        <v>155</v>
      </c>
      <c r="F9" s="24" t="s">
        <v>156</v>
      </c>
      <c r="H9" s="23" t="s">
        <v>157</v>
      </c>
      <c r="I9" s="24" t="s">
        <v>153</v>
      </c>
      <c r="J9" s="24" t="s">
        <v>154</v>
      </c>
      <c r="K9" s="24" t="s">
        <v>155</v>
      </c>
      <c r="L9" s="24" t="s">
        <v>158</v>
      </c>
      <c r="M9" s="24" t="s">
        <v>159</v>
      </c>
    </row>
    <row r="10" spans="2:13" ht="15" customHeight="1" x14ac:dyDescent="0.25">
      <c r="B10" s="47" t="s">
        <v>160</v>
      </c>
      <c r="C10" s="48">
        <f>SUMIFS(Abrechnung!$J$20:$J$119,Abrechnung!$I$20:$I$119,"Einnahme",Abrechnung!$C$20:$C$119,"&gt;="&amp;DATE(YEAR(Abrechnung!$D$10),1,1),Abrechnung!$C$20:$C$119,"&lt;="&amp;EOMONTH(DATE(YEAR(Abrechnung!$D$10),1,1),0))</f>
        <v>0</v>
      </c>
      <c r="D10" s="48">
        <f>SUMIFS(Abrechnung!$J$20:$J$119,Abrechnung!$I$20:$I$119,"Ausgabe",Abrechnung!$C$20:$C$119,"&gt;="&amp;DATE(YEAR(Abrechnung!$D$10),1,1),Abrechnung!$C$20:$C$119,"&lt;="&amp;EOMONTH(DATE(YEAR(Abrechnung!$D$10),1,1),0))</f>
        <v>0</v>
      </c>
      <c r="E10" s="49">
        <f t="shared" ref="E10:E21" si="0">C10-D10</f>
        <v>0</v>
      </c>
      <c r="F10" s="50">
        <f>E10</f>
        <v>0</v>
      </c>
      <c r="H10" s="47" t="s">
        <v>161</v>
      </c>
      <c r="I10" s="48">
        <f>SUMIFS(Abrechnung!$J$20:$J$119,Abrechnung!$I$20:$I$119,"Einnahme",Abrechnung!$C$20:$C$119,"&gt;="&amp;DATE(YEAR(Abrechnung!$D$10),1,1),Abrechnung!$C$20:$C$119,"&lt;="&amp;EOMONTH(DATE(YEAR(Abrechnung!$D$10),3,1),0))</f>
        <v>0</v>
      </c>
      <c r="J10" s="48">
        <f>SUMIFS(Abrechnung!$J$20:$J$119,Abrechnung!$I$20:$I$119,"Ausgabe",Abrechnung!$C$20:$C$119,"&gt;="&amp;DATE(YEAR(Abrechnung!$D$10),1,1),Abrechnung!$C$20:$C$119,"&lt;="&amp;EOMONTH(DATE(YEAR(Abrechnung!$D$10),3,1),0))</f>
        <v>0</v>
      </c>
      <c r="K10" s="50">
        <f>I10-J10</f>
        <v>0</v>
      </c>
      <c r="L10" s="49">
        <f>SUMIFS(Abrechnung!$L$20:$L$119,Abrechnung!$I$20:$I$119,"Einnahme",Abrechnung!$C$20:$C$119,"&gt;="&amp;DATE(YEAR(Abrechnung!$D$10),1,1),Abrechnung!$C$20:$C$119,"&lt;="&amp;EOMONTH(DATE(YEAR(Abrechnung!$D$10),3,1),0))-SUMIFS(Abrechnung!$L$20:$L$119,Abrechnung!$I$20:$I$119,"Ausgabe",Abrechnung!$C$20:$C$119,"&gt;="&amp;DATE(YEAR(Abrechnung!$D$10),1,1),Abrechnung!$C$20:$C$119,"&lt;="&amp;EOMONTH(DATE(YEAR(Abrechnung!$D$10),3,1),0))</f>
        <v>0</v>
      </c>
      <c r="M10" s="51">
        <f>IFERROR(K10/I10,0)</f>
        <v>0</v>
      </c>
    </row>
    <row r="11" spans="2:13" ht="15" customHeight="1" x14ac:dyDescent="0.25">
      <c r="B11" s="52" t="s">
        <v>162</v>
      </c>
      <c r="C11" s="53">
        <f>SUMIFS(Abrechnung!$J$20:$J$119,Abrechnung!$I$20:$I$119,"Einnahme",Abrechnung!$C$20:$C$119,"&gt;="&amp;DATE(YEAR(Abrechnung!$D$10),2,1),Abrechnung!$C$20:$C$119,"&lt;="&amp;EOMONTH(DATE(YEAR(Abrechnung!$D$10),2,1),0))</f>
        <v>0</v>
      </c>
      <c r="D11" s="53">
        <f>SUMIFS(Abrechnung!$J$20:$J$119,Abrechnung!$I$20:$I$119,"Ausgabe",Abrechnung!$C$20:$C$119,"&gt;="&amp;DATE(YEAR(Abrechnung!$D$10),2,1),Abrechnung!$C$20:$C$119,"&lt;="&amp;EOMONTH(DATE(YEAR(Abrechnung!$D$10),2,1),0))</f>
        <v>0</v>
      </c>
      <c r="E11" s="54">
        <f t="shared" si="0"/>
        <v>0</v>
      </c>
      <c r="F11" s="55">
        <f>SUM($E$10:E11)</f>
        <v>0</v>
      </c>
      <c r="H11" s="52" t="s">
        <v>163</v>
      </c>
      <c r="I11" s="53">
        <f>SUMIFS(Abrechnung!$J$20:$J$119,Abrechnung!$I$20:$I$119,"Einnahme",Abrechnung!$C$20:$C$119,"&gt;="&amp;DATE(YEAR(Abrechnung!$D$10),4,1),Abrechnung!$C$20:$C$119,"&lt;="&amp;EOMONTH(DATE(YEAR(Abrechnung!$D$10),6,1),0))</f>
        <v>0</v>
      </c>
      <c r="J11" s="53">
        <f>SUMIFS(Abrechnung!$J$20:$J$119,Abrechnung!$I$20:$I$119,"Ausgabe",Abrechnung!$C$20:$C$119,"&gt;="&amp;DATE(YEAR(Abrechnung!$D$10),4,1),Abrechnung!$C$20:$C$119,"&lt;="&amp;EOMONTH(DATE(YEAR(Abrechnung!$D$10),6,1),0))</f>
        <v>0</v>
      </c>
      <c r="K11" s="55">
        <f>I11-J11</f>
        <v>0</v>
      </c>
      <c r="L11" s="54">
        <f>SUMIFS(Abrechnung!$L$20:$L$119,Abrechnung!$I$20:$I$119,"Einnahme",Abrechnung!$C$20:$C$119,"&gt;="&amp;DATE(YEAR(Abrechnung!$D$10),4,1),Abrechnung!$C$20:$C$119,"&lt;="&amp;EOMONTH(DATE(YEAR(Abrechnung!$D$10),6,1),0))-SUMIFS(Abrechnung!$L$20:$L$119,Abrechnung!$I$20:$I$119,"Ausgabe",Abrechnung!$C$20:$C$119,"&gt;="&amp;DATE(YEAR(Abrechnung!$D$10),4,1),Abrechnung!$C$20:$C$119,"&lt;="&amp;EOMONTH(DATE(YEAR(Abrechnung!$D$10),6,1),0))</f>
        <v>0</v>
      </c>
      <c r="M11" s="56">
        <f>IFERROR(K11/I11,0)</f>
        <v>0</v>
      </c>
    </row>
    <row r="12" spans="2:13" ht="15" customHeight="1" x14ac:dyDescent="0.25">
      <c r="B12" s="47" t="s">
        <v>164</v>
      </c>
      <c r="C12" s="48">
        <f>SUMIFS(Abrechnung!$J$20:$J$119,Abrechnung!$I$20:$I$119,"Einnahme",Abrechnung!$C$20:$C$119,"&gt;="&amp;DATE(YEAR(Abrechnung!$D$10),3,1),Abrechnung!$C$20:$C$119,"&lt;="&amp;EOMONTH(DATE(YEAR(Abrechnung!$D$10),3,1),0))</f>
        <v>0</v>
      </c>
      <c r="D12" s="48">
        <f>SUMIFS(Abrechnung!$J$20:$J$119,Abrechnung!$I$20:$I$119,"Ausgabe",Abrechnung!$C$20:$C$119,"&gt;="&amp;DATE(YEAR(Abrechnung!$D$10),3,1),Abrechnung!$C$20:$C$119,"&lt;="&amp;EOMONTH(DATE(YEAR(Abrechnung!$D$10),3,1),0))</f>
        <v>0</v>
      </c>
      <c r="E12" s="49">
        <f t="shared" si="0"/>
        <v>0</v>
      </c>
      <c r="F12" s="50">
        <f>SUM($E$10:E12)</f>
        <v>0</v>
      </c>
      <c r="H12" s="47" t="s">
        <v>165</v>
      </c>
      <c r="I12" s="48">
        <f>SUMIFS(Abrechnung!$J$20:$J$119,Abrechnung!$I$20:$I$119,"Einnahme",Abrechnung!$C$20:$C$119,"&gt;="&amp;DATE(YEAR(Abrechnung!$D$10),7,1),Abrechnung!$C$20:$C$119,"&lt;="&amp;EOMONTH(DATE(YEAR(Abrechnung!$D$10),9,1),0))</f>
        <v>0</v>
      </c>
      <c r="J12" s="48">
        <f>SUMIFS(Abrechnung!$J$20:$J$119,Abrechnung!$I$20:$I$119,"Ausgabe",Abrechnung!$C$20:$C$119,"&gt;="&amp;DATE(YEAR(Abrechnung!$D$10),7,1),Abrechnung!$C$20:$C$119,"&lt;="&amp;EOMONTH(DATE(YEAR(Abrechnung!$D$10),9,1),0))</f>
        <v>0</v>
      </c>
      <c r="K12" s="50">
        <f>I12-J12</f>
        <v>0</v>
      </c>
      <c r="L12" s="49">
        <f>SUMIFS(Abrechnung!$L$20:$L$119,Abrechnung!$I$20:$I$119,"Einnahme",Abrechnung!$C$20:$C$119,"&gt;="&amp;DATE(YEAR(Abrechnung!$D$10),7,1),Abrechnung!$C$20:$C$119,"&lt;="&amp;EOMONTH(DATE(YEAR(Abrechnung!$D$10),9,1),0))-SUMIFS(Abrechnung!$L$20:$L$119,Abrechnung!$I$20:$I$119,"Ausgabe",Abrechnung!$C$20:$C$119,"&gt;="&amp;DATE(YEAR(Abrechnung!$D$10),7,1),Abrechnung!$C$20:$C$119,"&lt;="&amp;EOMONTH(DATE(YEAR(Abrechnung!$D$10),9,1),0))</f>
        <v>0</v>
      </c>
      <c r="M12" s="51">
        <f>IFERROR(K12/I12,0)</f>
        <v>0</v>
      </c>
    </row>
    <row r="13" spans="2:13" ht="15" customHeight="1" x14ac:dyDescent="0.25">
      <c r="B13" s="52" t="s">
        <v>166</v>
      </c>
      <c r="C13" s="53">
        <f>SUMIFS(Abrechnung!$J$20:$J$119,Abrechnung!$I$20:$I$119,"Einnahme",Abrechnung!$C$20:$C$119,"&gt;="&amp;DATE(YEAR(Abrechnung!$D$10),4,1),Abrechnung!$C$20:$C$119,"&lt;="&amp;EOMONTH(DATE(YEAR(Abrechnung!$D$10),4,1),0))</f>
        <v>0</v>
      </c>
      <c r="D13" s="53">
        <f>SUMIFS(Abrechnung!$J$20:$J$119,Abrechnung!$I$20:$I$119,"Ausgabe",Abrechnung!$C$20:$C$119,"&gt;="&amp;DATE(YEAR(Abrechnung!$D$10),4,1),Abrechnung!$C$20:$C$119,"&lt;="&amp;EOMONTH(DATE(YEAR(Abrechnung!$D$10),4,1),0))</f>
        <v>0</v>
      </c>
      <c r="E13" s="54">
        <f t="shared" si="0"/>
        <v>0</v>
      </c>
      <c r="F13" s="55">
        <f>SUM($E$10:E13)</f>
        <v>0</v>
      </c>
      <c r="H13" s="52" t="s">
        <v>167</v>
      </c>
      <c r="I13" s="53">
        <f>SUMIFS(Abrechnung!$J$20:$J$119,Abrechnung!$I$20:$I$119,"Einnahme",Abrechnung!$C$20:$C$119,"&gt;="&amp;DATE(YEAR(Abrechnung!$D$10),10,1),Abrechnung!$C$20:$C$119,"&lt;="&amp;EOMONTH(DATE(YEAR(Abrechnung!$D$10),12,1),0))</f>
        <v>0</v>
      </c>
      <c r="J13" s="53">
        <f>SUMIFS(Abrechnung!$J$20:$J$119,Abrechnung!$I$20:$I$119,"Ausgabe",Abrechnung!$C$20:$C$119,"&gt;="&amp;DATE(YEAR(Abrechnung!$D$10),10,1),Abrechnung!$C$20:$C$119,"&lt;="&amp;EOMONTH(DATE(YEAR(Abrechnung!$D$10),12,1),0))</f>
        <v>0</v>
      </c>
      <c r="K13" s="55">
        <f>I13-J13</f>
        <v>0</v>
      </c>
      <c r="L13" s="54">
        <f>SUMIFS(Abrechnung!$L$20:$L$119,Abrechnung!$I$20:$I$119,"Einnahme",Abrechnung!$C$20:$C$119,"&gt;="&amp;DATE(YEAR(Abrechnung!$D$10),10,1),Abrechnung!$C$20:$C$119,"&lt;="&amp;EOMONTH(DATE(YEAR(Abrechnung!$D$10),12,1),0))-SUMIFS(Abrechnung!$L$20:$L$119,Abrechnung!$I$20:$I$119,"Ausgabe",Abrechnung!$C$20:$C$119,"&gt;="&amp;DATE(YEAR(Abrechnung!$D$10),10,1),Abrechnung!$C$20:$C$119,"&lt;="&amp;EOMONTH(DATE(YEAR(Abrechnung!$D$10),12,1),0))</f>
        <v>0</v>
      </c>
      <c r="M13" s="56">
        <f>IFERROR(K13/I13,0)</f>
        <v>0</v>
      </c>
    </row>
    <row r="14" spans="2:13" ht="18.75" customHeight="1" x14ac:dyDescent="0.25">
      <c r="B14" s="47" t="s">
        <v>168</v>
      </c>
      <c r="C14" s="48">
        <f>SUMIFS(Abrechnung!$J$20:$J$119,Abrechnung!$I$20:$I$119,"Einnahme",Abrechnung!$C$20:$C$119,"&gt;="&amp;DATE(YEAR(Abrechnung!$D$10),5,1),Abrechnung!$C$20:$C$119,"&lt;="&amp;EOMONTH(DATE(YEAR(Abrechnung!$D$10),5,1),0))</f>
        <v>0</v>
      </c>
      <c r="D14" s="48">
        <f>SUMIFS(Abrechnung!$J$20:$J$119,Abrechnung!$I$20:$I$119,"Ausgabe",Abrechnung!$C$20:$C$119,"&gt;="&amp;DATE(YEAR(Abrechnung!$D$10),5,1),Abrechnung!$C$20:$C$119,"&lt;="&amp;EOMONTH(DATE(YEAR(Abrechnung!$D$10),5,1),0))</f>
        <v>0</v>
      </c>
      <c r="E14" s="49">
        <f t="shared" si="0"/>
        <v>0</v>
      </c>
      <c r="F14" s="50">
        <f>SUM($E$10:E14)</f>
        <v>0</v>
      </c>
      <c r="H14" s="43" t="s">
        <v>169</v>
      </c>
      <c r="I14" s="57">
        <f>SUM(I10:I13)</f>
        <v>0</v>
      </c>
      <c r="J14" s="57">
        <f>SUM(J10:J13)</f>
        <v>0</v>
      </c>
      <c r="K14" s="57">
        <f>SUM(K10:K13)</f>
        <v>0</v>
      </c>
      <c r="L14" s="57">
        <f>SUM(L10:L13)</f>
        <v>0</v>
      </c>
      <c r="M14" s="58">
        <f>IFERROR(K14/I14,0)</f>
        <v>0</v>
      </c>
    </row>
    <row r="15" spans="2:13" ht="15" customHeight="1" x14ac:dyDescent="0.25">
      <c r="B15" s="52" t="s">
        <v>170</v>
      </c>
      <c r="C15" s="53">
        <f>SUMIFS(Abrechnung!$J$20:$J$119,Abrechnung!$I$20:$I$119,"Einnahme",Abrechnung!$C$20:$C$119,"&gt;="&amp;DATE(YEAR(Abrechnung!$D$10),6,1),Abrechnung!$C$20:$C$119,"&lt;="&amp;EOMONTH(DATE(YEAR(Abrechnung!$D$10),6,1),0))</f>
        <v>0</v>
      </c>
      <c r="D15" s="53">
        <f>SUMIFS(Abrechnung!$J$20:$J$119,Abrechnung!$I$20:$I$119,"Ausgabe",Abrechnung!$C$20:$C$119,"&gt;="&amp;DATE(YEAR(Abrechnung!$D$10),6,1),Abrechnung!$C$20:$C$119,"&lt;="&amp;EOMONTH(DATE(YEAR(Abrechnung!$D$10),6,1),0))</f>
        <v>0</v>
      </c>
      <c r="E15" s="54">
        <f t="shared" si="0"/>
        <v>0</v>
      </c>
      <c r="F15" s="55">
        <f>SUM($E$10:E15)</f>
        <v>0</v>
      </c>
    </row>
    <row r="16" spans="2:13" ht="18" customHeight="1" x14ac:dyDescent="0.25">
      <c r="B16" s="47" t="s">
        <v>171</v>
      </c>
      <c r="C16" s="48">
        <f>SUMIFS(Abrechnung!$J$20:$J$119,Abrechnung!$I$20:$I$119,"Einnahme",Abrechnung!$C$20:$C$119,"&gt;="&amp;DATE(YEAR(Abrechnung!$D$10),7,1),Abrechnung!$C$20:$C$119,"&lt;="&amp;EOMONTH(DATE(YEAR(Abrechnung!$D$10),7,1),0))</f>
        <v>0</v>
      </c>
      <c r="D16" s="48">
        <f>SUMIFS(Abrechnung!$J$20:$J$119,Abrechnung!$I$20:$I$119,"Ausgabe",Abrechnung!$C$20:$C$119,"&gt;="&amp;DATE(YEAR(Abrechnung!$D$10),7,1),Abrechnung!$C$20:$C$119,"&lt;="&amp;EOMONTH(DATE(YEAR(Abrechnung!$D$10),7,1),0))</f>
        <v>0</v>
      </c>
      <c r="E16" s="49">
        <f t="shared" si="0"/>
        <v>0</v>
      </c>
      <c r="F16" s="50">
        <f>SUM($E$10:E16)</f>
        <v>0</v>
      </c>
      <c r="H16" s="17" t="s">
        <v>172</v>
      </c>
      <c r="I16" s="18"/>
      <c r="J16" s="18"/>
      <c r="K16" s="18"/>
      <c r="L16" s="18"/>
      <c r="M16" s="18"/>
    </row>
    <row r="17" spans="2:13" ht="25.5" customHeight="1" x14ac:dyDescent="0.25">
      <c r="B17" s="52" t="s">
        <v>173</v>
      </c>
      <c r="C17" s="53">
        <f>SUMIFS(Abrechnung!$J$20:$J$119,Abrechnung!$I$20:$I$119,"Einnahme",Abrechnung!$C$20:$C$119,"&gt;="&amp;DATE(YEAR(Abrechnung!$D$10),8,1),Abrechnung!$C$20:$C$119,"&lt;="&amp;EOMONTH(DATE(YEAR(Abrechnung!$D$10),8,1),0))</f>
        <v>0</v>
      </c>
      <c r="D17" s="53">
        <f>SUMIFS(Abrechnung!$J$20:$J$119,Abrechnung!$I$20:$I$119,"Ausgabe",Abrechnung!$C$20:$C$119,"&gt;="&amp;DATE(YEAR(Abrechnung!$D$10),8,1),Abrechnung!$C$20:$C$119,"&lt;="&amp;EOMONTH(DATE(YEAR(Abrechnung!$D$10),8,1),0))</f>
        <v>0</v>
      </c>
      <c r="E17" s="54">
        <f t="shared" si="0"/>
        <v>0</v>
      </c>
      <c r="F17" s="55">
        <f>SUM($E$10:E17)</f>
        <v>0</v>
      </c>
      <c r="H17" s="23" t="s">
        <v>38</v>
      </c>
      <c r="I17" s="24" t="s">
        <v>174</v>
      </c>
      <c r="J17" s="24" t="s">
        <v>175</v>
      </c>
      <c r="K17" s="24" t="s">
        <v>176</v>
      </c>
      <c r="L17" s="24" t="s">
        <v>177</v>
      </c>
      <c r="M17" s="24" t="s">
        <v>178</v>
      </c>
    </row>
    <row r="18" spans="2:13" ht="15" customHeight="1" x14ac:dyDescent="0.25">
      <c r="B18" s="47" t="s">
        <v>179</v>
      </c>
      <c r="C18" s="48">
        <f>SUMIFS(Abrechnung!$J$20:$J$119,Abrechnung!$I$20:$I$119,"Einnahme",Abrechnung!$C$20:$C$119,"&gt;="&amp;DATE(YEAR(Abrechnung!$D$10),9,1),Abrechnung!$C$20:$C$119,"&lt;="&amp;EOMONTH(DATE(YEAR(Abrechnung!$D$10),9,1),0))</f>
        <v>0</v>
      </c>
      <c r="D18" s="48">
        <f>SUMIFS(Abrechnung!$J$20:$J$119,Abrechnung!$I$20:$I$119,"Ausgabe",Abrechnung!$C$20:$C$119,"&gt;="&amp;DATE(YEAR(Abrechnung!$D$10),9,1),Abrechnung!$C$20:$C$119,"&lt;="&amp;EOMONTH(DATE(YEAR(Abrechnung!$D$10),9,1),0))</f>
        <v>0</v>
      </c>
      <c r="E18" s="49">
        <f t="shared" si="0"/>
        <v>0</v>
      </c>
      <c r="F18" s="50">
        <f>SUM($E$10:E18)</f>
        <v>0</v>
      </c>
      <c r="H18" s="59">
        <v>0</v>
      </c>
      <c r="I18" s="48">
        <f>SUMIFS(Abrechnung!$J$20:$J$119,Abrechnung!$K$20:$K$119,$H18,Abrechnung!$I$20:$I$119,"Einnahme")</f>
        <v>480</v>
      </c>
      <c r="J18" s="48">
        <f>SUMIFS(Abrechnung!$L$20:$L$119,Abrechnung!$K$20:$K$119,$H18,Abrechnung!$I$20:$I$119,"Einnahme")</f>
        <v>0</v>
      </c>
      <c r="K18" s="48">
        <f>SUMIFS(Abrechnung!$J$20:$J$119,Abrechnung!$K$20:$K$119,$H18,Abrechnung!$I$20:$I$119,"Ausgabe")</f>
        <v>5398.9</v>
      </c>
      <c r="L18" s="48">
        <f>SUMIFS(Abrechnung!$L$20:$L$119,Abrechnung!$K$20:$K$119,$H18,Abrechnung!$I$20:$I$119,"Ausgabe")</f>
        <v>0</v>
      </c>
      <c r="M18" s="50">
        <f>J18-L18</f>
        <v>0</v>
      </c>
    </row>
    <row r="19" spans="2:13" ht="15" customHeight="1" x14ac:dyDescent="0.25">
      <c r="B19" s="52" t="s">
        <v>180</v>
      </c>
      <c r="C19" s="53">
        <f>SUMIFS(Abrechnung!$J$20:$J$119,Abrechnung!$I$20:$I$119,"Einnahme",Abrechnung!$C$20:$C$119,"&gt;="&amp;DATE(YEAR(Abrechnung!$D$10),10,1),Abrechnung!$C$20:$C$119,"&lt;="&amp;EOMONTH(DATE(YEAR(Abrechnung!$D$10),10,1),0))</f>
        <v>0</v>
      </c>
      <c r="D19" s="53">
        <f>SUMIFS(Abrechnung!$J$20:$J$119,Abrechnung!$I$20:$I$119,"Ausgabe",Abrechnung!$C$20:$C$119,"&gt;="&amp;DATE(YEAR(Abrechnung!$D$10),10,1),Abrechnung!$C$20:$C$119,"&lt;="&amp;EOMONTH(DATE(YEAR(Abrechnung!$D$10),10,1),0))</f>
        <v>0</v>
      </c>
      <c r="E19" s="54">
        <f t="shared" si="0"/>
        <v>0</v>
      </c>
      <c r="F19" s="55">
        <f>SUM($E$10:E19)</f>
        <v>0</v>
      </c>
      <c r="H19" s="60">
        <v>7.0000000000000007E-2</v>
      </c>
      <c r="I19" s="53">
        <f>SUMIFS(Abrechnung!$J$20:$J$119,Abrechnung!$K$20:$K$119,$H19,Abrechnung!$I$20:$I$119,"Einnahme")</f>
        <v>0</v>
      </c>
      <c r="J19" s="53">
        <f>SUMIFS(Abrechnung!$L$20:$L$119,Abrechnung!$K$20:$K$119,$H19,Abrechnung!$I$20:$I$119,"Einnahme")</f>
        <v>0</v>
      </c>
      <c r="K19" s="53">
        <f>SUMIFS(Abrechnung!$J$20:$J$119,Abrechnung!$K$20:$K$119,$H19,Abrechnung!$I$20:$I$119,"Ausgabe")</f>
        <v>476.4</v>
      </c>
      <c r="L19" s="53">
        <f>SUMIFS(Abrechnung!$L$20:$L$119,Abrechnung!$K$20:$K$119,$H19,Abrechnung!$I$20:$I$119,"Ausgabe")</f>
        <v>33.35</v>
      </c>
      <c r="M19" s="55">
        <f>J19-L19</f>
        <v>-33.35</v>
      </c>
    </row>
    <row r="20" spans="2:13" ht="15" customHeight="1" x14ac:dyDescent="0.25">
      <c r="B20" s="47" t="s">
        <v>181</v>
      </c>
      <c r="C20" s="48">
        <f>SUMIFS(Abrechnung!$J$20:$J$119,Abrechnung!$I$20:$I$119,"Einnahme",Abrechnung!$C$20:$C$119,"&gt;="&amp;DATE(YEAR(Abrechnung!$D$10),11,1),Abrechnung!$C$20:$C$119,"&lt;="&amp;EOMONTH(DATE(YEAR(Abrechnung!$D$10),11,1),0))</f>
        <v>0</v>
      </c>
      <c r="D20" s="48">
        <f>SUMIFS(Abrechnung!$J$20:$J$119,Abrechnung!$I$20:$I$119,"Ausgabe",Abrechnung!$C$20:$C$119,"&gt;="&amp;DATE(YEAR(Abrechnung!$D$10),11,1),Abrechnung!$C$20:$C$119,"&lt;="&amp;EOMONTH(DATE(YEAR(Abrechnung!$D$10),11,1),0))</f>
        <v>0</v>
      </c>
      <c r="E20" s="49">
        <f t="shared" si="0"/>
        <v>0</v>
      </c>
      <c r="F20" s="50">
        <f>SUM($E$10:E20)</f>
        <v>0</v>
      </c>
      <c r="H20" s="59">
        <v>0.19</v>
      </c>
      <c r="I20" s="48">
        <f>SUMIFS(Abrechnung!$J$20:$J$119,Abrechnung!$K$20:$K$119,$H20,Abrechnung!$I$20:$I$119,"Einnahme")</f>
        <v>41080</v>
      </c>
      <c r="J20" s="48">
        <f>SUMIFS(Abrechnung!$L$20:$L$119,Abrechnung!$K$20:$K$119,$H20,Abrechnung!$I$20:$I$119,"Einnahme")</f>
        <v>7805.2</v>
      </c>
      <c r="K20" s="48">
        <f>SUMIFS(Abrechnung!$J$20:$J$119,Abrechnung!$K$20:$K$119,$H20,Abrechnung!$I$20:$I$119,"Ausgabe")</f>
        <v>12100.8</v>
      </c>
      <c r="L20" s="48">
        <f>SUMIFS(Abrechnung!$L$20:$L$119,Abrechnung!$K$20:$K$119,$H20,Abrechnung!$I$20:$I$119,"Ausgabe")</f>
        <v>2299.1499999999996</v>
      </c>
      <c r="M20" s="50">
        <f>J20-L20</f>
        <v>5506.05</v>
      </c>
    </row>
    <row r="21" spans="2:13" ht="18.75" customHeight="1" x14ac:dyDescent="0.25">
      <c r="B21" s="52" t="s">
        <v>182</v>
      </c>
      <c r="C21" s="53">
        <f>SUMIFS(Abrechnung!$J$20:$J$119,Abrechnung!$I$20:$I$119,"Einnahme",Abrechnung!$C$20:$C$119,"&gt;="&amp;DATE(YEAR(Abrechnung!$D$10),12,1),Abrechnung!$C$20:$C$119,"&lt;="&amp;EOMONTH(DATE(YEAR(Abrechnung!$D$10),12,1),0))</f>
        <v>0</v>
      </c>
      <c r="D21" s="53">
        <f>SUMIFS(Abrechnung!$J$20:$J$119,Abrechnung!$I$20:$I$119,"Ausgabe",Abrechnung!$C$20:$C$119,"&gt;="&amp;DATE(YEAR(Abrechnung!$D$10),12,1),Abrechnung!$C$20:$C$119,"&lt;="&amp;EOMONTH(DATE(YEAR(Abrechnung!$D$10),12,1),0))</f>
        <v>0</v>
      </c>
      <c r="E21" s="54">
        <f t="shared" si="0"/>
        <v>0</v>
      </c>
      <c r="F21" s="55">
        <f>SUM($E$10:E21)</f>
        <v>0</v>
      </c>
      <c r="H21" s="43" t="s">
        <v>183</v>
      </c>
      <c r="I21" s="57">
        <f>SUM(I18:I20)</f>
        <v>41560</v>
      </c>
      <c r="J21" s="57">
        <f>SUM(J18:J20)</f>
        <v>7805.2</v>
      </c>
      <c r="K21" s="57">
        <f>SUM(K18:K20)</f>
        <v>17976.099999999999</v>
      </c>
      <c r="L21" s="57">
        <f>SUM(L18:L20)</f>
        <v>2332.4999999999995</v>
      </c>
      <c r="M21" s="57">
        <f>SUM(M18:M20)</f>
        <v>5472.7</v>
      </c>
    </row>
    <row r="22" spans="2:13" ht="18.75" customHeight="1" x14ac:dyDescent="0.25">
      <c r="B22" s="43" t="s">
        <v>184</v>
      </c>
      <c r="C22" s="57">
        <f>SUM(C10:C21)</f>
        <v>0</v>
      </c>
      <c r="D22" s="57">
        <f>SUM(D10:D21)</f>
        <v>0</v>
      </c>
      <c r="E22" s="57">
        <f>SUM(E10:E21)</f>
        <v>0</v>
      </c>
      <c r="F22" s="45"/>
      <c r="H22" s="77" t="s">
        <v>185</v>
      </c>
      <c r="I22" s="77"/>
      <c r="J22" s="77"/>
      <c r="K22" s="77"/>
      <c r="L22" s="77"/>
      <c r="M22" s="77"/>
    </row>
    <row r="24" spans="2:13" ht="18" customHeight="1" x14ac:dyDescent="0.25">
      <c r="B24" s="17" t="s">
        <v>186</v>
      </c>
      <c r="C24" s="18"/>
      <c r="D24" s="18"/>
      <c r="E24" s="18"/>
      <c r="F24" s="18"/>
      <c r="H24" s="17" t="s">
        <v>187</v>
      </c>
      <c r="I24" s="18"/>
      <c r="J24" s="18"/>
      <c r="K24" s="18"/>
      <c r="L24" s="18"/>
      <c r="M24" s="18"/>
    </row>
    <row r="25" spans="2:13" ht="25.5" customHeight="1" x14ac:dyDescent="0.25">
      <c r="B25" s="23" t="s">
        <v>35</v>
      </c>
      <c r="C25" s="24" t="s">
        <v>153</v>
      </c>
      <c r="D25" s="24" t="s">
        <v>154</v>
      </c>
      <c r="E25" s="24" t="s">
        <v>188</v>
      </c>
      <c r="F25" s="24" t="s">
        <v>189</v>
      </c>
      <c r="H25" s="23" t="s">
        <v>190</v>
      </c>
      <c r="I25" s="24" t="s">
        <v>191</v>
      </c>
      <c r="J25" s="24" t="s">
        <v>192</v>
      </c>
      <c r="K25" s="24" t="s">
        <v>193</v>
      </c>
      <c r="L25" s="24" t="s">
        <v>194</v>
      </c>
      <c r="M25" s="24" t="s">
        <v>159</v>
      </c>
    </row>
    <row r="26" spans="2:13" ht="15" customHeight="1" x14ac:dyDescent="0.25">
      <c r="B26" s="47" t="s">
        <v>64</v>
      </c>
      <c r="C26" s="48">
        <f>SUMIFS(Abrechnung!$J$20:$J$119,Abrechnung!$H$20:$H$119,$B26,Abrechnung!$I$20:$I$119,"Einnahme")</f>
        <v>17900</v>
      </c>
      <c r="D26" s="48">
        <f>SUMIFS(Abrechnung!$J$20:$J$119,Abrechnung!$H$20:$H$119,$B26,Abrechnung!$I$20:$I$119,"Ausgabe")</f>
        <v>0</v>
      </c>
      <c r="E26" s="50">
        <f t="shared" ref="E26:E41" si="1">C26-D26</f>
        <v>17900</v>
      </c>
      <c r="F26" s="51">
        <f t="shared" ref="F26:F41" si="2">IFERROR((C26+D26)/($C$42+$D$42),0)</f>
        <v>0.30065792015264686</v>
      </c>
      <c r="H26" s="47" t="s">
        <v>195</v>
      </c>
      <c r="I26" s="61">
        <f>COUNTIFS(Abrechnung!$I$20:$I$119,"Einnahme")</f>
        <v>11</v>
      </c>
      <c r="J26" s="48">
        <f>SUMIFS(Abrechnung!$M$20:$M$119,Abrechnung!$I$20:$I$119,"Einnahme")</f>
        <v>49365.2</v>
      </c>
      <c r="K26" s="48">
        <f>SUMIFS(Abrechnung!$P$20:$P$119,Abrechnung!$I$20:$I$119,"Einnahme")</f>
        <v>34872</v>
      </c>
      <c r="L26" s="62">
        <f>SUMIFS(Abrechnung!$Q$20:$Q$119,Abrechnung!$I$20:$I$119,"Einnahme")</f>
        <v>14493.2</v>
      </c>
      <c r="M26" s="51">
        <f>IFERROR(K26/J26,0)</f>
        <v>0.7064085631173378</v>
      </c>
    </row>
    <row r="27" spans="2:13" ht="15" customHeight="1" x14ac:dyDescent="0.25">
      <c r="B27" s="52" t="s">
        <v>50</v>
      </c>
      <c r="C27" s="53">
        <f>SUMIFS(Abrechnung!$J$20:$J$119,Abrechnung!$H$20:$H$119,$B27,Abrechnung!$I$20:$I$119,"Einnahme")</f>
        <v>23180</v>
      </c>
      <c r="D27" s="53">
        <f>SUMIFS(Abrechnung!$J$20:$J$119,Abrechnung!$H$20:$H$119,$B27,Abrechnung!$I$20:$I$119,"Ausgabe")</f>
        <v>0</v>
      </c>
      <c r="E27" s="55">
        <f t="shared" si="1"/>
        <v>23180</v>
      </c>
      <c r="F27" s="56">
        <f t="shared" si="2"/>
        <v>0.38934360833175163</v>
      </c>
      <c r="H27" s="52" t="s">
        <v>196</v>
      </c>
      <c r="I27" s="63">
        <f>COUNTIFS(Abrechnung!$I$20:$I$119,"Ausgabe")</f>
        <v>15</v>
      </c>
      <c r="J27" s="53">
        <f>SUMIFS(Abrechnung!$M$20:$M$119,Abrechnung!$I$20:$I$119,"Ausgabe")</f>
        <v>20308.600000000002</v>
      </c>
      <c r="K27" s="53">
        <f>SUMIFS(Abrechnung!$P$20:$P$119,Abrechnung!$I$20:$I$119,"Ausgabe")</f>
        <v>19547.000000000004</v>
      </c>
      <c r="L27" s="64">
        <f>SUMIFS(Abrechnung!$Q$20:$Q$119,Abrechnung!$I$20:$I$119,"Ausgabe")</f>
        <v>761.6</v>
      </c>
      <c r="M27" s="56">
        <f>IFERROR(K27/J27,0)</f>
        <v>0.96249864589385781</v>
      </c>
    </row>
    <row r="28" spans="2:13" ht="15" customHeight="1" x14ac:dyDescent="0.25">
      <c r="B28" s="47" t="s">
        <v>123</v>
      </c>
      <c r="C28" s="48">
        <f>SUMIFS(Abrechnung!$J$20:$J$119,Abrechnung!$H$20:$H$119,$B28,Abrechnung!$I$20:$I$119,"Einnahme")</f>
        <v>480</v>
      </c>
      <c r="D28" s="48">
        <f>SUMIFS(Abrechnung!$J$20:$J$119,Abrechnung!$H$20:$H$119,$B28,Abrechnung!$I$20:$I$119,"Ausgabe")</f>
        <v>0</v>
      </c>
      <c r="E28" s="50">
        <f t="shared" si="1"/>
        <v>480</v>
      </c>
      <c r="F28" s="51">
        <f t="shared" si="2"/>
        <v>8.062335289009525E-3</v>
      </c>
      <c r="H28" s="65" t="s">
        <v>197</v>
      </c>
      <c r="I28" s="66">
        <f ca="1">COUNTIFS(Abrechnung!$R$20:$R$119,"Überfällig")</f>
        <v>2</v>
      </c>
      <c r="J28" s="67">
        <f ca="1">SUMIFS(Abrechnung!$M$20:$M$119,Abrechnung!$R$20:$R$119,"Überfällig")</f>
        <v>11757.2</v>
      </c>
      <c r="K28" s="67">
        <f ca="1">SUMIFS(Abrechnung!$P$20:$P$119,Abrechnung!$R$20:$R$119,"Überfällig")</f>
        <v>0</v>
      </c>
      <c r="L28" s="67">
        <f ca="1">SUMIFS(Abrechnung!$Q$20:$Q$119,Abrechnung!$R$20:$R$119,"Überfällig")</f>
        <v>11757.2</v>
      </c>
      <c r="M28" s="68">
        <f ca="1">IFERROR(K28/J28,0)</f>
        <v>0</v>
      </c>
    </row>
    <row r="29" spans="2:13" ht="15" customHeight="1" x14ac:dyDescent="0.25">
      <c r="B29" s="52" t="s">
        <v>74</v>
      </c>
      <c r="C29" s="53">
        <f>SUMIFS(Abrechnung!$J$20:$J$119,Abrechnung!$H$20:$H$119,$B29,Abrechnung!$I$20:$I$119,"Einnahme")</f>
        <v>0</v>
      </c>
      <c r="D29" s="53">
        <f>SUMIFS(Abrechnung!$J$20:$J$119,Abrechnung!$H$20:$H$119,$B29,Abrechnung!$I$20:$I$119,"Ausgabe")</f>
        <v>5170</v>
      </c>
      <c r="E29" s="55">
        <f t="shared" si="1"/>
        <v>-5170</v>
      </c>
      <c r="F29" s="56">
        <f t="shared" si="2"/>
        <v>8.6838069675373414E-2</v>
      </c>
      <c r="H29" s="43" t="s">
        <v>184</v>
      </c>
      <c r="I29" s="69">
        <f>COUNT(Abrechnung!$J$20:$J$119)</f>
        <v>26</v>
      </c>
      <c r="J29" s="57">
        <f>SUM(J26:J27)</f>
        <v>69673.8</v>
      </c>
      <c r="K29" s="57">
        <f>SUM(K26:K27)</f>
        <v>54419</v>
      </c>
      <c r="L29" s="57">
        <f>SUM(L26:L27)</f>
        <v>15254.800000000001</v>
      </c>
      <c r="M29" s="58">
        <f>IFERROR(K29/J29,0)</f>
        <v>0.78105399734189895</v>
      </c>
    </row>
    <row r="30" spans="2:13" ht="15" customHeight="1" x14ac:dyDescent="0.25">
      <c r="B30" s="47" t="s">
        <v>80</v>
      </c>
      <c r="C30" s="48">
        <f>SUMIFS(Abrechnung!$J$20:$J$119,Abrechnung!$H$20:$H$119,$B30,Abrechnung!$I$20:$I$119,"Einnahme")</f>
        <v>0</v>
      </c>
      <c r="D30" s="48">
        <f>SUMIFS(Abrechnung!$J$20:$J$119,Abrechnung!$H$20:$H$119,$B30,Abrechnung!$I$20:$I$119,"Ausgabe")</f>
        <v>3120</v>
      </c>
      <c r="E30" s="50">
        <f t="shared" si="1"/>
        <v>-3120</v>
      </c>
      <c r="F30" s="51">
        <f t="shared" si="2"/>
        <v>5.2405179378561907E-2</v>
      </c>
    </row>
    <row r="31" spans="2:13" ht="15" customHeight="1" x14ac:dyDescent="0.25">
      <c r="B31" s="52" t="s">
        <v>57</v>
      </c>
      <c r="C31" s="53">
        <f>SUMIFS(Abrechnung!$J$20:$J$119,Abrechnung!$H$20:$H$119,$B31,Abrechnung!$I$20:$I$119,"Einnahme")</f>
        <v>0</v>
      </c>
      <c r="D31" s="53">
        <f>SUMIFS(Abrechnung!$J$20:$J$119,Abrechnung!$H$20:$H$119,$B31,Abrechnung!$I$20:$I$119,"Ausgabe")</f>
        <v>1480</v>
      </c>
      <c r="E31" s="55">
        <f t="shared" si="1"/>
        <v>-1480</v>
      </c>
      <c r="F31" s="56">
        <f t="shared" si="2"/>
        <v>2.4858867141112701E-2</v>
      </c>
      <c r="H31" s="17" t="s">
        <v>198</v>
      </c>
      <c r="I31" s="18"/>
      <c r="J31" s="18"/>
      <c r="K31" s="18"/>
      <c r="L31" s="18"/>
      <c r="M31" s="18"/>
    </row>
    <row r="32" spans="2:13" ht="15" customHeight="1" x14ac:dyDescent="0.25">
      <c r="B32" s="47" t="s">
        <v>92</v>
      </c>
      <c r="C32" s="48">
        <f>SUMIFS(Abrechnung!$J$20:$J$119,Abrechnung!$H$20:$H$119,$B32,Abrechnung!$I$20:$I$119,"Einnahme")</f>
        <v>0</v>
      </c>
      <c r="D32" s="48">
        <f>SUMIFS(Abrechnung!$J$20:$J$119,Abrechnung!$H$20:$H$119,$B32,Abrechnung!$I$20:$I$119,"Ausgabe")</f>
        <v>386.2</v>
      </c>
      <c r="E32" s="50">
        <f t="shared" si="1"/>
        <v>-386.2</v>
      </c>
      <c r="F32" s="51">
        <f t="shared" si="2"/>
        <v>6.4868206012822461E-3</v>
      </c>
      <c r="H32" s="23" t="s">
        <v>34</v>
      </c>
      <c r="I32" s="24" t="s">
        <v>153</v>
      </c>
      <c r="J32" s="24" t="s">
        <v>154</v>
      </c>
      <c r="K32" s="24" t="s">
        <v>155</v>
      </c>
      <c r="L32" s="24" t="s">
        <v>199</v>
      </c>
      <c r="M32" s="24" t="s">
        <v>200</v>
      </c>
    </row>
    <row r="33" spans="2:13" ht="15" customHeight="1" x14ac:dyDescent="0.25">
      <c r="B33" s="52" t="s">
        <v>120</v>
      </c>
      <c r="C33" s="53">
        <f>SUMIFS(Abrechnung!$J$20:$J$119,Abrechnung!$H$20:$H$119,$B33,Abrechnung!$I$20:$I$119,"Einnahme")</f>
        <v>0</v>
      </c>
      <c r="D33" s="53">
        <f>SUMIFS(Abrechnung!$J$20:$J$119,Abrechnung!$H$20:$H$119,$B33,Abrechnung!$I$20:$I$119,"Ausgabe")</f>
        <v>312.39999999999998</v>
      </c>
      <c r="E33" s="55">
        <f t="shared" si="1"/>
        <v>-312.39999999999998</v>
      </c>
      <c r="F33" s="56">
        <f t="shared" si="2"/>
        <v>5.2472365505970321E-3</v>
      </c>
      <c r="H33" s="47" t="s">
        <v>63</v>
      </c>
      <c r="I33" s="48">
        <f>SUMIFS(Abrechnung!$J$20:$J$119,Abrechnung!$G$20:$G$119,$H33,Abrechnung!$I$20:$I$119,"Einnahme")</f>
        <v>17900</v>
      </c>
      <c r="J33" s="48">
        <f>SUMIFS(Abrechnung!$J$20:$J$119,Abrechnung!$G$20:$G$119,$H33,Abrechnung!$I$20:$I$119,"Ausgabe")</f>
        <v>5868.6</v>
      </c>
      <c r="K33" s="50">
        <f>I33-J33</f>
        <v>12031.4</v>
      </c>
      <c r="L33" s="51">
        <f>IFERROR(J33/$J$38,0)</f>
        <v>0.3264668087071167</v>
      </c>
      <c r="M33" s="61">
        <f>COUNTIFS(Abrechnung!$G$20:$G$119,$H33)</f>
        <v>8</v>
      </c>
    </row>
    <row r="34" spans="2:13" ht="15" customHeight="1" x14ac:dyDescent="0.25">
      <c r="B34" s="47" t="s">
        <v>109</v>
      </c>
      <c r="C34" s="48">
        <f>SUMIFS(Abrechnung!$J$20:$J$119,Abrechnung!$H$20:$H$119,$B34,Abrechnung!$I$20:$I$119,"Einnahme")</f>
        <v>0</v>
      </c>
      <c r="D34" s="48">
        <f>SUMIFS(Abrechnung!$J$20:$J$119,Abrechnung!$H$20:$H$119,$B34,Abrechnung!$I$20:$I$119,"Ausgabe")</f>
        <v>214.6</v>
      </c>
      <c r="E34" s="50">
        <f t="shared" si="1"/>
        <v>-214.6</v>
      </c>
      <c r="F34" s="51">
        <f t="shared" si="2"/>
        <v>3.6045357354613414E-3</v>
      </c>
      <c r="H34" s="52" t="s">
        <v>56</v>
      </c>
      <c r="I34" s="53">
        <f>SUMIFS(Abrechnung!$J$20:$J$119,Abrechnung!$G$20:$G$119,$H34,Abrechnung!$I$20:$I$119,"Einnahme")</f>
        <v>480</v>
      </c>
      <c r="J34" s="53">
        <f>SUMIFS(Abrechnung!$J$20:$J$119,Abrechnung!$G$20:$G$119,$H34,Abrechnung!$I$20:$I$119,"Ausgabe")</f>
        <v>7457.5</v>
      </c>
      <c r="K34" s="55">
        <f>I34-J34</f>
        <v>-6977.5</v>
      </c>
      <c r="L34" s="56">
        <f>IFERROR(J34/$J$38,0)</f>
        <v>0.41485639265469154</v>
      </c>
      <c r="M34" s="63">
        <f>COUNTIFS(Abrechnung!$G$20:$G$119,$H34)</f>
        <v>8</v>
      </c>
    </row>
    <row r="35" spans="2:13" ht="15" customHeight="1" x14ac:dyDescent="0.25">
      <c r="B35" s="52" t="s">
        <v>69</v>
      </c>
      <c r="C35" s="53">
        <f>SUMIFS(Abrechnung!$J$20:$J$119,Abrechnung!$H$20:$H$119,$B35,Abrechnung!$I$20:$I$119,"Einnahme")</f>
        <v>0</v>
      </c>
      <c r="D35" s="53">
        <f>SUMIFS(Abrechnung!$J$20:$J$119,Abrechnung!$H$20:$H$119,$B35,Abrechnung!$I$20:$I$119,"Ausgabe")</f>
        <v>1780</v>
      </c>
      <c r="E35" s="55">
        <f t="shared" si="1"/>
        <v>-1780</v>
      </c>
      <c r="F35" s="56">
        <f t="shared" si="2"/>
        <v>2.9897826696743655E-2</v>
      </c>
      <c r="H35" s="47" t="s">
        <v>49</v>
      </c>
      <c r="I35" s="48">
        <f>SUMIFS(Abrechnung!$J$20:$J$119,Abrechnung!$G$20:$G$119,$H35,Abrechnung!$I$20:$I$119,"Einnahme")</f>
        <v>23180</v>
      </c>
      <c r="J35" s="48">
        <f>SUMIFS(Abrechnung!$J$20:$J$119,Abrechnung!$G$20:$G$119,$H35,Abrechnung!$I$20:$I$119,"Ausgabe")</f>
        <v>0</v>
      </c>
      <c r="K35" s="50">
        <f>I35-J35</f>
        <v>23180</v>
      </c>
      <c r="L35" s="51">
        <f>IFERROR(J35/$J$38,0)</f>
        <v>0</v>
      </c>
      <c r="M35" s="61">
        <f>COUNTIFS(Abrechnung!$G$20:$G$119,$H35)</f>
        <v>6</v>
      </c>
    </row>
    <row r="36" spans="2:13" ht="15" customHeight="1" x14ac:dyDescent="0.25">
      <c r="B36" s="47" t="s">
        <v>97</v>
      </c>
      <c r="C36" s="48">
        <f>SUMIFS(Abrechnung!$J$20:$J$119,Abrechnung!$H$20:$H$119,$B36,Abrechnung!$I$20:$I$119,"Einnahme")</f>
        <v>0</v>
      </c>
      <c r="D36" s="48">
        <f>SUMIFS(Abrechnung!$J$20:$J$119,Abrechnung!$H$20:$H$119,$B36,Abrechnung!$I$20:$I$119,"Ausgabe")</f>
        <v>2870</v>
      </c>
      <c r="E36" s="50">
        <f t="shared" si="1"/>
        <v>-2870</v>
      </c>
      <c r="F36" s="51">
        <f t="shared" si="2"/>
        <v>4.8206046415536115E-2</v>
      </c>
      <c r="H36" s="52" t="s">
        <v>96</v>
      </c>
      <c r="I36" s="53">
        <f>SUMIFS(Abrechnung!$J$20:$J$119,Abrechnung!$G$20:$G$119,$H36,Abrechnung!$I$20:$I$119,"Einnahme")</f>
        <v>0</v>
      </c>
      <c r="J36" s="53">
        <f>SUMIFS(Abrechnung!$J$20:$J$119,Abrechnung!$G$20:$G$119,$H36,Abrechnung!$I$20:$I$119,"Ausgabe")</f>
        <v>2870</v>
      </c>
      <c r="K36" s="55">
        <f>I36-J36</f>
        <v>-2870</v>
      </c>
      <c r="L36" s="56">
        <f>IFERROR(J36/$J$38,0)</f>
        <v>0.15965643270787325</v>
      </c>
      <c r="M36" s="63">
        <f>COUNTIFS(Abrechnung!$G$20:$G$119,$H36)</f>
        <v>2</v>
      </c>
    </row>
    <row r="37" spans="2:13" ht="15" customHeight="1" x14ac:dyDescent="0.25">
      <c r="B37" s="52" t="s">
        <v>103</v>
      </c>
      <c r="C37" s="53">
        <f>SUMIFS(Abrechnung!$J$20:$J$119,Abrechnung!$H$20:$H$119,$B37,Abrechnung!$I$20:$I$119,"Einnahme")</f>
        <v>0</v>
      </c>
      <c r="D37" s="53">
        <f>SUMIFS(Abrechnung!$J$20:$J$119,Abrechnung!$H$20:$H$119,$B37,Abrechnung!$I$20:$I$119,"Ausgabe")</f>
        <v>742</v>
      </c>
      <c r="E37" s="55">
        <f t="shared" si="1"/>
        <v>-742</v>
      </c>
      <c r="F37" s="56">
        <f t="shared" si="2"/>
        <v>1.2463026634260556E-2</v>
      </c>
      <c r="H37" s="47" t="s">
        <v>68</v>
      </c>
      <c r="I37" s="48">
        <f>SUMIFS(Abrechnung!$J$20:$J$119,Abrechnung!$G$20:$G$119,$H37,Abrechnung!$I$20:$I$119,"Einnahme")</f>
        <v>0</v>
      </c>
      <c r="J37" s="48">
        <f>SUMIFS(Abrechnung!$J$20:$J$119,Abrechnung!$G$20:$G$119,$H37,Abrechnung!$I$20:$I$119,"Ausgabe")</f>
        <v>1780</v>
      </c>
      <c r="K37" s="50">
        <f>I37-J37</f>
        <v>-1780</v>
      </c>
      <c r="L37" s="51">
        <f>IFERROR(J37/$J$38,0)</f>
        <v>9.9020365930318599E-2</v>
      </c>
      <c r="M37" s="61">
        <f>COUNTIFS(Abrechnung!$G$20:$G$119,$H37)</f>
        <v>2</v>
      </c>
    </row>
    <row r="38" spans="2:13" ht="15" customHeight="1" x14ac:dyDescent="0.25">
      <c r="B38" s="47" t="s">
        <v>114</v>
      </c>
      <c r="C38" s="48">
        <f>SUMIFS(Abrechnung!$J$20:$J$119,Abrechnung!$H$20:$H$119,$B38,Abrechnung!$I$20:$I$119,"Einnahme")</f>
        <v>0</v>
      </c>
      <c r="D38" s="48">
        <f>SUMIFS(Abrechnung!$J$20:$J$119,Abrechnung!$H$20:$H$119,$B38,Abrechnung!$I$20:$I$119,"Ausgabe")</f>
        <v>1680</v>
      </c>
      <c r="E38" s="50">
        <f t="shared" si="1"/>
        <v>-1680</v>
      </c>
      <c r="F38" s="51">
        <f t="shared" si="2"/>
        <v>2.8218173511533336E-2</v>
      </c>
      <c r="H38" s="43" t="s">
        <v>183</v>
      </c>
      <c r="I38" s="57">
        <f>SUM(I33:I37)</f>
        <v>41560</v>
      </c>
      <c r="J38" s="57">
        <f>SUM(J33:J37)</f>
        <v>17976.099999999999</v>
      </c>
      <c r="K38" s="57">
        <f>SUM(K33:K37)</f>
        <v>23583.9</v>
      </c>
      <c r="L38" s="58">
        <f>IFERROR(J38/J38,0)</f>
        <v>1</v>
      </c>
      <c r="M38" s="69">
        <f>COUNT(Abrechnung!$J$20:$J$119)</f>
        <v>26</v>
      </c>
    </row>
    <row r="39" spans="2:13" ht="15" customHeight="1" x14ac:dyDescent="0.25">
      <c r="B39" s="52" t="s">
        <v>84</v>
      </c>
      <c r="C39" s="53">
        <f>SUMIFS(Abrechnung!$J$20:$J$119,Abrechnung!$H$20:$H$119,$B39,Abrechnung!$I$20:$I$119,"Einnahme")</f>
        <v>0</v>
      </c>
      <c r="D39" s="53">
        <f>SUMIFS(Abrechnung!$J$20:$J$119,Abrechnung!$H$20:$H$119,$B39,Abrechnung!$I$20:$I$119,"Ausgabe")</f>
        <v>164</v>
      </c>
      <c r="E39" s="55">
        <f t="shared" si="1"/>
        <v>-164</v>
      </c>
      <c r="F39" s="56">
        <f t="shared" si="2"/>
        <v>2.754631223744921E-3</v>
      </c>
    </row>
    <row r="40" spans="2:13" ht="15" customHeight="1" x14ac:dyDescent="0.25">
      <c r="B40" s="47" t="s">
        <v>131</v>
      </c>
      <c r="C40" s="48">
        <f>SUMIFS(Abrechnung!$J$20:$J$119,Abrechnung!$H$20:$H$119,$B40,Abrechnung!$I$20:$I$119,"Einnahme")</f>
        <v>0</v>
      </c>
      <c r="D40" s="48">
        <f>SUMIFS(Abrechnung!$J$20:$J$119,Abrechnung!$H$20:$H$119,$B40,Abrechnung!$I$20:$I$119,"Ausgabe")</f>
        <v>56.9</v>
      </c>
      <c r="E40" s="50">
        <f t="shared" si="1"/>
        <v>-56.9</v>
      </c>
      <c r="F40" s="51">
        <f t="shared" si="2"/>
        <v>9.5572266238467065E-4</v>
      </c>
    </row>
    <row r="41" spans="2:13" ht="15" customHeight="1" x14ac:dyDescent="0.25">
      <c r="B41" s="52" t="s">
        <v>201</v>
      </c>
      <c r="C41" s="53">
        <f>SUMIFS(Abrechnung!$J$20:$J$119,Abrechnung!$H$20:$H$119,$B41,Abrechnung!$I$20:$I$119,"Einnahme")</f>
        <v>0</v>
      </c>
      <c r="D41" s="53">
        <f>SUMIFS(Abrechnung!$J$20:$J$119,Abrechnung!$H$20:$H$119,$B41,Abrechnung!$I$20:$I$119,"Ausgabe")</f>
        <v>0</v>
      </c>
      <c r="E41" s="55">
        <f t="shared" si="1"/>
        <v>0</v>
      </c>
      <c r="F41" s="56">
        <f t="shared" si="2"/>
        <v>0</v>
      </c>
    </row>
    <row r="42" spans="2:13" ht="18.75" customHeight="1" x14ac:dyDescent="0.25">
      <c r="B42" s="43" t="s">
        <v>183</v>
      </c>
      <c r="C42" s="57">
        <f>SUM(C26:C41)</f>
        <v>41560</v>
      </c>
      <c r="D42" s="57">
        <f>SUM(D26:D41)</f>
        <v>17976.100000000002</v>
      </c>
      <c r="E42" s="57">
        <f>SUM(E26:E41)</f>
        <v>23583.899999999998</v>
      </c>
      <c r="F42" s="58">
        <f>SUM(F26:F41)</f>
        <v>1.0000000000000002</v>
      </c>
    </row>
    <row r="62" spans="2:13" x14ac:dyDescent="0.25">
      <c r="B62" s="78" t="s">
        <v>202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</row>
    <row r="63" spans="2:13" x14ac:dyDescent="0.2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</row>
  </sheetData>
  <mergeCells count="8">
    <mergeCell ref="H22:M22"/>
    <mergeCell ref="B62:M63"/>
    <mergeCell ref="B3:G3"/>
    <mergeCell ref="H3:M3"/>
    <mergeCell ref="B4:G4"/>
    <mergeCell ref="H4:M4"/>
    <mergeCell ref="B5:G5"/>
    <mergeCell ref="H5:M5"/>
  </mergeCells>
  <conditionalFormatting sqref="C26:C41">
    <cfRule type="dataBar" priority="4">
      <dataBar>
        <cfvo type="num" val="0"/>
        <cfvo type="max"/>
        <color rgb="FFC3C9D1"/>
      </dataBar>
      <extLst>
        <ext xmlns:x14="http://schemas.microsoft.com/office/spreadsheetml/2009/9/main" uri="{B025F937-C7B1-47D3-B67F-A62EFF666E3E}">
          <x14:id>{AEC07DD1-A71E-4B1A-93A6-122D76C698F4}</x14:id>
        </ext>
      </extLst>
    </cfRule>
  </conditionalFormatting>
  <conditionalFormatting sqref="D26:D41">
    <cfRule type="dataBar" priority="3">
      <dataBar>
        <cfvo type="num" val="0"/>
        <cfvo type="max"/>
        <color rgb="FFC9AFB4"/>
      </dataBar>
      <extLst>
        <ext xmlns:x14="http://schemas.microsoft.com/office/spreadsheetml/2009/9/main" uri="{B025F937-C7B1-47D3-B67F-A62EFF666E3E}">
          <x14:id>{C86AD634-FB23-4649-BBC0-B279E32BBBC9}</x14:id>
        </ext>
      </extLst>
    </cfRule>
  </conditionalFormatting>
  <conditionalFormatting sqref="E10:F21">
    <cfRule type="cellIs" dxfId="0" priority="2" operator="lessThan">
      <formula>0</formula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C07DD1-A71E-4B1A-93A6-122D76C698F4}">
            <x14:dataBar axisPosition="none">
              <x14:cfvo type="num">
                <xm:f>0</xm:f>
              </x14:cfvo>
              <x14:cfvo type="max"/>
              <x14:negativeFillColor rgb="FFC3C9D1"/>
            </x14:dataBar>
          </x14:cfRule>
          <xm:sqref>C26:C41</xm:sqref>
        </x14:conditionalFormatting>
        <x14:conditionalFormatting xmlns:xm="http://schemas.microsoft.com/office/excel/2006/main">
          <x14:cfRule type="dataBar" id="{C86AD634-FB23-4649-BBC0-B279E32BBBC9}">
            <x14:dataBar axisPosition="none">
              <x14:cfvo type="num">
                <xm:f>0</xm:f>
              </x14:cfvo>
              <x14:cfvo type="max"/>
              <x14:negativeFillColor rgb="FFC9AFB4"/>
            </x14:dataBar>
          </x14:cfRule>
          <xm:sqref>D26:D41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37C88"/>
  </sheetPr>
  <dimension ref="B1:J30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8" customWidth="1"/>
    <col min="3" max="3" width="2.42578125" customWidth="1"/>
    <col min="4" max="4" width="22" customWidth="1"/>
    <col min="5" max="5" width="2.42578125" customWidth="1"/>
    <col min="6" max="6" width="18" customWidth="1"/>
    <col min="7" max="7" width="2.42578125" customWidth="1"/>
    <col min="8" max="8" width="18" customWidth="1"/>
    <col min="9" max="9" width="2.42578125" customWidth="1"/>
    <col min="10" max="10" width="14" customWidth="1"/>
  </cols>
  <sheetData>
    <row r="1" spans="2:10" ht="4.5" customHeight="1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2:10" ht="6.75" customHeight="1" x14ac:dyDescent="0.25"/>
    <row r="3" spans="2:10" ht="22.5" customHeight="1" x14ac:dyDescent="0.25">
      <c r="B3" s="14" t="s">
        <v>0</v>
      </c>
      <c r="C3" s="14"/>
      <c r="D3" s="14"/>
      <c r="E3" s="14"/>
      <c r="F3" s="14"/>
      <c r="G3" s="13" t="s">
        <v>203</v>
      </c>
      <c r="H3" s="13"/>
      <c r="I3" s="13"/>
      <c r="J3" s="13"/>
    </row>
    <row r="4" spans="2:10" ht="13.5" customHeight="1" x14ac:dyDescent="0.25">
      <c r="B4" s="12" t="s">
        <v>2</v>
      </c>
      <c r="C4" s="12"/>
      <c r="D4" s="12"/>
      <c r="E4" s="12"/>
      <c r="F4" s="12"/>
      <c r="G4" s="11" t="s">
        <v>204</v>
      </c>
      <c r="H4" s="11"/>
      <c r="I4" s="11"/>
      <c r="J4" s="11"/>
    </row>
    <row r="5" spans="2:10" ht="13.5" customHeight="1" x14ac:dyDescent="0.25">
      <c r="B5" s="12" t="s">
        <v>4</v>
      </c>
      <c r="C5" s="12"/>
      <c r="D5" s="12"/>
      <c r="E5" s="12"/>
      <c r="F5" s="12"/>
      <c r="G5" s="11" t="str">
        <f ca="1">"Stand "&amp;RIGHT("0"&amp;DAY(TODAY()),2)&amp;"."&amp;RIGHT("0"&amp;MONTH(TODAY()),2)&amp;"."&amp;YEAR(TODAY())&amp;"  ·  Alle Beträge in Euro"</f>
        <v>Stand 21.08.2026  ·  Alle Beträge in Euro</v>
      </c>
      <c r="H5" s="11"/>
      <c r="I5" s="11"/>
      <c r="J5" s="11"/>
    </row>
    <row r="6" spans="2:10" ht="4.5" customHeight="1" x14ac:dyDescent="0.25">
      <c r="B6" s="16"/>
      <c r="C6" s="16"/>
      <c r="D6" s="16"/>
      <c r="E6" s="16"/>
      <c r="F6" s="16"/>
      <c r="G6" s="16"/>
      <c r="H6" s="16"/>
      <c r="I6" s="16"/>
      <c r="J6" s="16"/>
    </row>
    <row r="8" spans="2:10" ht="21.75" customHeight="1" x14ac:dyDescent="0.25">
      <c r="B8" s="78" t="s">
        <v>205</v>
      </c>
      <c r="C8" s="78"/>
      <c r="D8" s="78"/>
      <c r="E8" s="78"/>
      <c r="F8" s="78"/>
      <c r="G8" s="78"/>
      <c r="H8" s="78"/>
      <c r="I8" s="78"/>
      <c r="J8" s="78"/>
    </row>
    <row r="10" spans="2:10" ht="18" customHeight="1" x14ac:dyDescent="0.25">
      <c r="B10" s="17" t="s">
        <v>206</v>
      </c>
      <c r="D10" s="17" t="s">
        <v>207</v>
      </c>
      <c r="F10" s="17" t="s">
        <v>208</v>
      </c>
      <c r="H10" s="17" t="s">
        <v>209</v>
      </c>
      <c r="J10" s="17" t="s">
        <v>210</v>
      </c>
    </row>
    <row r="11" spans="2:10" ht="15" customHeight="1" x14ac:dyDescent="0.25">
      <c r="B11" s="70" t="s">
        <v>64</v>
      </c>
      <c r="D11" s="70" t="s">
        <v>63</v>
      </c>
      <c r="F11" s="70" t="s">
        <v>52</v>
      </c>
      <c r="H11" s="70" t="s">
        <v>51</v>
      </c>
      <c r="J11" s="71">
        <v>0</v>
      </c>
    </row>
    <row r="12" spans="2:10" ht="15" customHeight="1" x14ac:dyDescent="0.25">
      <c r="B12" s="72" t="s">
        <v>50</v>
      </c>
      <c r="D12" s="72" t="s">
        <v>56</v>
      </c>
      <c r="F12" s="72" t="s">
        <v>59</v>
      </c>
      <c r="H12" s="72" t="s">
        <v>58</v>
      </c>
      <c r="J12" s="73">
        <v>7.0000000000000007E-2</v>
      </c>
    </row>
    <row r="13" spans="2:10" ht="15" customHeight="1" x14ac:dyDescent="0.25">
      <c r="B13" s="70" t="s">
        <v>123</v>
      </c>
      <c r="D13" s="70" t="s">
        <v>49</v>
      </c>
      <c r="F13" s="70" t="s">
        <v>70</v>
      </c>
      <c r="J13" s="71">
        <v>0.19</v>
      </c>
    </row>
    <row r="14" spans="2:10" ht="15" customHeight="1" x14ac:dyDescent="0.25">
      <c r="B14" s="72" t="s">
        <v>74</v>
      </c>
      <c r="D14" s="72" t="s">
        <v>96</v>
      </c>
      <c r="F14" s="72" t="s">
        <v>110</v>
      </c>
    </row>
    <row r="15" spans="2:10" ht="15" customHeight="1" x14ac:dyDescent="0.25">
      <c r="B15" s="70" t="s">
        <v>80</v>
      </c>
      <c r="D15" s="70" t="s">
        <v>68</v>
      </c>
      <c r="F15" s="70" t="s">
        <v>85</v>
      </c>
    </row>
    <row r="16" spans="2:10" ht="15" customHeight="1" x14ac:dyDescent="0.25">
      <c r="B16" s="72" t="s">
        <v>57</v>
      </c>
    </row>
    <row r="17" spans="2:10" ht="15" customHeight="1" x14ac:dyDescent="0.25">
      <c r="B17" s="70" t="s">
        <v>92</v>
      </c>
    </row>
    <row r="18" spans="2:10" ht="15" customHeight="1" x14ac:dyDescent="0.25">
      <c r="B18" s="72" t="s">
        <v>120</v>
      </c>
    </row>
    <row r="19" spans="2:10" ht="15" customHeight="1" x14ac:dyDescent="0.25">
      <c r="B19" s="70" t="s">
        <v>109</v>
      </c>
    </row>
    <row r="20" spans="2:10" ht="15" customHeight="1" x14ac:dyDescent="0.25">
      <c r="B20" s="72" t="s">
        <v>69</v>
      </c>
    </row>
    <row r="21" spans="2:10" ht="15" customHeight="1" x14ac:dyDescent="0.25">
      <c r="B21" s="70" t="s">
        <v>97</v>
      </c>
    </row>
    <row r="22" spans="2:10" ht="15" customHeight="1" x14ac:dyDescent="0.25">
      <c r="B22" s="72" t="s">
        <v>103</v>
      </c>
    </row>
    <row r="23" spans="2:10" ht="15" customHeight="1" x14ac:dyDescent="0.25">
      <c r="B23" s="70" t="s">
        <v>114</v>
      </c>
    </row>
    <row r="24" spans="2:10" ht="15" customHeight="1" x14ac:dyDescent="0.25">
      <c r="B24" s="72" t="s">
        <v>84</v>
      </c>
    </row>
    <row r="25" spans="2:10" ht="15" customHeight="1" x14ac:dyDescent="0.25">
      <c r="B25" s="70" t="s">
        <v>131</v>
      </c>
    </row>
    <row r="26" spans="2:10" ht="15" customHeight="1" x14ac:dyDescent="0.25">
      <c r="B26" s="72" t="s">
        <v>201</v>
      </c>
    </row>
    <row r="29" spans="2:10" ht="15" customHeight="1" x14ac:dyDescent="0.25">
      <c r="B29" s="79" t="s">
        <v>211</v>
      </c>
      <c r="C29" s="79"/>
      <c r="D29" s="79"/>
      <c r="E29" s="79"/>
      <c r="F29" s="79"/>
      <c r="G29" s="79"/>
      <c r="H29" s="79"/>
      <c r="I29" s="79"/>
      <c r="J29" s="79"/>
    </row>
    <row r="30" spans="2:10" x14ac:dyDescent="0.25">
      <c r="B30" s="79"/>
      <c r="C30" s="79"/>
      <c r="D30" s="79"/>
      <c r="E30" s="79"/>
      <c r="F30" s="79"/>
      <c r="G30" s="79"/>
      <c r="H30" s="79"/>
      <c r="I30" s="79"/>
      <c r="J30" s="79"/>
    </row>
  </sheetData>
  <mergeCells count="8">
    <mergeCell ref="B8:J8"/>
    <mergeCell ref="B29:J30"/>
    <mergeCell ref="B3:F3"/>
    <mergeCell ref="G3:J3"/>
    <mergeCell ref="B4:F4"/>
    <mergeCell ref="G4:J4"/>
    <mergeCell ref="B5:F5"/>
    <mergeCell ref="G5:J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Abrechnung</vt:lpstr>
      <vt:lpstr>Auswertung</vt:lpstr>
      <vt:lpstr>Listen</vt:lpstr>
      <vt:lpstr>Buchungsarten</vt:lpstr>
      <vt:lpstr>Abrechnung!Druckbereich</vt:lpstr>
      <vt:lpstr>Auswertung!Druckbereich</vt:lpstr>
      <vt:lpstr>Abrechnung!Drucktitel</vt:lpstr>
      <vt:lpstr>Kategorien</vt:lpstr>
      <vt:lpstr>Kostenstellen</vt:lpstr>
      <vt:lpstr>Steuersaetze</vt:lpstr>
      <vt:lpstr>Zahlungsarten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Abrechnungsvorlage 2026</dc:title>
  <dc:subject/>
  <dc:creator>openpyxl</dc:creator>
  <dc:description>Abrechnungsvorlage für Einnahmen, Ausgaben, Umsatzsteuer, Kostenstellen und offene Posten.</dc:description>
  <cp:lastModifiedBy>Sergio Jiménez Canales</cp:lastModifiedBy>
  <cp:revision>1</cp:revision>
  <dcterms:created xsi:type="dcterms:W3CDTF">2026-08-21T12:51:49Z</dcterms:created>
  <dcterms:modified xsi:type="dcterms:W3CDTF">2026-08-21T13:46:42Z</dcterms:modified>
  <dc:language>en-US</dc:language>
</cp:coreProperties>
</file>