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505C955-340D-41FA-96F0-20CE8C0E21DE}" xr6:coauthVersionLast="47" xr6:coauthVersionMax="47" xr10:uidLastSave="{00000000-0000-0000-0000-000000000000}"/>
  <bookViews>
    <workbookView xWindow="690" yWindow="690" windowWidth="25500" windowHeight="13500" tabRatio="500" activeTab="1" xr2:uid="{00000000-000D-0000-FFFF-FFFF00000000}"/>
  </bookViews>
  <sheets>
    <sheet name="Buchungen" sheetId="1" r:id="rId1"/>
    <sheet name="Übersicht" sheetId="2" r:id="rId2"/>
    <sheet name="Auswertung" sheetId="3" r:id="rId3"/>
  </sheets>
  <definedNames>
    <definedName name="_xlnm._FilterDatabase" localSheetId="0" hidden="1">Buchungen!$A$8:$M$8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9" i="3" l="1"/>
  <c r="B28" i="3"/>
  <c r="B27" i="3"/>
  <c r="B26" i="3"/>
  <c r="B25" i="3"/>
  <c r="B24" i="3"/>
  <c r="B23" i="3"/>
  <c r="B22" i="3"/>
  <c r="B21" i="3"/>
  <c r="B20" i="3"/>
  <c r="B19" i="3"/>
  <c r="C18" i="3"/>
  <c r="B18" i="3"/>
  <c r="B17" i="3"/>
  <c r="B16" i="3"/>
  <c r="B15" i="3"/>
  <c r="B10" i="3"/>
  <c r="B9" i="3"/>
  <c r="C8" i="3"/>
  <c r="B8" i="3"/>
  <c r="B7" i="3"/>
  <c r="H43" i="1"/>
  <c r="N42" i="1"/>
  <c r="M42" i="1"/>
  <c r="L42" i="1"/>
  <c r="K42" i="1"/>
  <c r="J42" i="1"/>
  <c r="F42" i="1"/>
  <c r="A42" i="1"/>
  <c r="N41" i="1"/>
  <c r="M41" i="1"/>
  <c r="L41" i="1"/>
  <c r="K41" i="1"/>
  <c r="J41" i="1"/>
  <c r="F41" i="1"/>
  <c r="A41" i="1"/>
  <c r="N40" i="1"/>
  <c r="L40" i="1"/>
  <c r="K40" i="1"/>
  <c r="J40" i="1"/>
  <c r="F40" i="1"/>
  <c r="A40" i="1"/>
  <c r="N39" i="1"/>
  <c r="L39" i="1"/>
  <c r="K39" i="1"/>
  <c r="J39" i="1"/>
  <c r="F39" i="1"/>
  <c r="A39" i="1"/>
  <c r="N38" i="1"/>
  <c r="L38" i="1"/>
  <c r="J38" i="1"/>
  <c r="K38" i="1" s="1"/>
  <c r="F38" i="1"/>
  <c r="A38" i="1"/>
  <c r="N37" i="1"/>
  <c r="L37" i="1"/>
  <c r="J37" i="1"/>
  <c r="K37" i="1" s="1"/>
  <c r="F37" i="1"/>
  <c r="A37" i="1"/>
  <c r="N36" i="1"/>
  <c r="L36" i="1"/>
  <c r="J36" i="1"/>
  <c r="K36" i="1" s="1"/>
  <c r="F36" i="1"/>
  <c r="A36" i="1"/>
  <c r="N35" i="1"/>
  <c r="L35" i="1"/>
  <c r="J35" i="1"/>
  <c r="K35" i="1" s="1"/>
  <c r="F35" i="1"/>
  <c r="A35" i="1"/>
  <c r="N34" i="1"/>
  <c r="L34" i="1"/>
  <c r="J34" i="1"/>
  <c r="K34" i="1" s="1"/>
  <c r="F34" i="1"/>
  <c r="A34" i="1"/>
  <c r="N33" i="1"/>
  <c r="L33" i="1"/>
  <c r="J33" i="1"/>
  <c r="K33" i="1" s="1"/>
  <c r="F33" i="1"/>
  <c r="A33" i="1"/>
  <c r="N32" i="1"/>
  <c r="L32" i="1"/>
  <c r="K32" i="1"/>
  <c r="J32" i="1"/>
  <c r="C9" i="3" s="1"/>
  <c r="F32" i="1"/>
  <c r="A32" i="1"/>
  <c r="N31" i="1"/>
  <c r="L31" i="1"/>
  <c r="J31" i="1"/>
  <c r="K31" i="1" s="1"/>
  <c r="F31" i="1"/>
  <c r="A31" i="1"/>
  <c r="N30" i="1"/>
  <c r="L30" i="1"/>
  <c r="J30" i="1"/>
  <c r="C29" i="3" s="1"/>
  <c r="F30" i="1"/>
  <c r="A30" i="1"/>
  <c r="N29" i="1"/>
  <c r="L29" i="1"/>
  <c r="J29" i="1"/>
  <c r="K29" i="1" s="1"/>
  <c r="F29" i="1"/>
  <c r="A29" i="1"/>
  <c r="N28" i="1"/>
  <c r="L28" i="1"/>
  <c r="J28" i="1"/>
  <c r="K28" i="1" s="1"/>
  <c r="F28" i="1"/>
  <c r="A28" i="1"/>
  <c r="N27" i="1"/>
  <c r="L27" i="1"/>
  <c r="J27" i="1"/>
  <c r="K27" i="1" s="1"/>
  <c r="F27" i="1"/>
  <c r="A27" i="1"/>
  <c r="N26" i="1"/>
  <c r="L26" i="1"/>
  <c r="J26" i="1"/>
  <c r="K26" i="1" s="1"/>
  <c r="F26" i="1"/>
  <c r="A26" i="1"/>
  <c r="N25" i="1"/>
  <c r="L25" i="1"/>
  <c r="K25" i="1"/>
  <c r="J25" i="1"/>
  <c r="C20" i="3" s="1"/>
  <c r="F25" i="1"/>
  <c r="A25" i="1"/>
  <c r="N24" i="1"/>
  <c r="L24" i="1"/>
  <c r="J24" i="1"/>
  <c r="C16" i="3" s="1"/>
  <c r="F24" i="1"/>
  <c r="A24" i="1"/>
  <c r="N23" i="1"/>
  <c r="L23" i="1"/>
  <c r="J23" i="1"/>
  <c r="K23" i="1" s="1"/>
  <c r="F23" i="1"/>
  <c r="A23" i="1"/>
  <c r="N22" i="1"/>
  <c r="L22" i="1"/>
  <c r="J22" i="1"/>
  <c r="C25" i="3" s="1"/>
  <c r="F22" i="1"/>
  <c r="A22" i="1"/>
  <c r="N21" i="1"/>
  <c r="L21" i="1"/>
  <c r="J21" i="1"/>
  <c r="K21" i="1" s="1"/>
  <c r="F21" i="1"/>
  <c r="A21" i="1"/>
  <c r="N20" i="1"/>
  <c r="L20" i="1"/>
  <c r="J20" i="1"/>
  <c r="K20" i="1" s="1"/>
  <c r="F20" i="1"/>
  <c r="A20" i="1"/>
  <c r="N19" i="1"/>
  <c r="L19" i="1"/>
  <c r="K19" i="1"/>
  <c r="J19" i="1"/>
  <c r="C24" i="3" s="1"/>
  <c r="F19" i="1"/>
  <c r="A19" i="1"/>
  <c r="N18" i="1"/>
  <c r="L18" i="1"/>
  <c r="J18" i="1"/>
  <c r="C22" i="3" s="1"/>
  <c r="F18" i="1"/>
  <c r="E6" i="2" s="1"/>
  <c r="A18" i="1"/>
  <c r="N17" i="1"/>
  <c r="L17" i="1"/>
  <c r="J17" i="1"/>
  <c r="K17" i="1" s="1"/>
  <c r="F17" i="1"/>
  <c r="A17" i="1"/>
  <c r="N16" i="1"/>
  <c r="B18" i="2" s="1"/>
  <c r="L16" i="1"/>
  <c r="J16" i="1"/>
  <c r="C21" i="3" s="1"/>
  <c r="F16" i="1"/>
  <c r="A16" i="1"/>
  <c r="N15" i="1"/>
  <c r="L15" i="1"/>
  <c r="J15" i="1"/>
  <c r="K15" i="1" s="1"/>
  <c r="F15" i="1"/>
  <c r="A15" i="1"/>
  <c r="N14" i="1"/>
  <c r="L14" i="1"/>
  <c r="J14" i="1"/>
  <c r="K14" i="1" s="1"/>
  <c r="F14" i="1"/>
  <c r="A14" i="1"/>
  <c r="N13" i="1"/>
  <c r="L13" i="1"/>
  <c r="J13" i="1"/>
  <c r="C27" i="3" s="1"/>
  <c r="F13" i="1"/>
  <c r="A13" i="1"/>
  <c r="N12" i="1"/>
  <c r="L12" i="1"/>
  <c r="K12" i="1"/>
  <c r="J12" i="1"/>
  <c r="C23" i="3" s="1"/>
  <c r="F12" i="1"/>
  <c r="A12" i="1"/>
  <c r="N11" i="1"/>
  <c r="L11" i="1"/>
  <c r="J11" i="1"/>
  <c r="C7" i="3" s="1"/>
  <c r="F11" i="1"/>
  <c r="G6" i="2" s="1"/>
  <c r="A11" i="1"/>
  <c r="N10" i="1"/>
  <c r="L10" i="1"/>
  <c r="J10" i="1"/>
  <c r="J43" i="1" s="1"/>
  <c r="F10" i="1"/>
  <c r="A10" i="1"/>
  <c r="N9" i="1"/>
  <c r="C19" i="2" s="1"/>
  <c r="L9" i="1"/>
  <c r="J9" i="1"/>
  <c r="K9" i="1" s="1"/>
  <c r="F9" i="1"/>
  <c r="B36" i="3" s="1"/>
  <c r="A9" i="1"/>
  <c r="C20" i="2"/>
  <c r="B20" i="2"/>
  <c r="D20" i="2" s="1"/>
  <c r="C15" i="2"/>
  <c r="B15" i="2"/>
  <c r="D15" i="2" s="1"/>
  <c r="I6" i="2"/>
  <c r="C6" i="2"/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D18" i="2"/>
  <c r="D28" i="3"/>
  <c r="D16" i="3"/>
  <c r="D18" i="3"/>
  <c r="D26" i="3"/>
  <c r="D29" i="3"/>
  <c r="C19" i="3"/>
  <c r="C26" i="3"/>
  <c r="C10" i="3"/>
  <c r="C11" i="3" s="1"/>
  <c r="B16" i="2"/>
  <c r="B21" i="2"/>
  <c r="K24" i="1"/>
  <c r="C11" i="2"/>
  <c r="K10" i="1"/>
  <c r="K43" i="1" s="1"/>
  <c r="K30" i="1"/>
  <c r="K13" i="1"/>
  <c r="B12" i="2"/>
  <c r="B17" i="2"/>
  <c r="B22" i="2"/>
  <c r="K16" i="1"/>
  <c r="K18" i="1"/>
  <c r="B11" i="2"/>
  <c r="C16" i="2"/>
  <c r="C21" i="2"/>
  <c r="C12" i="2"/>
  <c r="C17" i="2"/>
  <c r="C22" i="2"/>
  <c r="B11" i="3"/>
  <c r="D10" i="3" s="1"/>
  <c r="K22" i="1"/>
  <c r="C28" i="3"/>
  <c r="C15" i="3"/>
  <c r="B13" i="2"/>
  <c r="C18" i="2"/>
  <c r="K11" i="1"/>
  <c r="B14" i="2"/>
  <c r="D14" i="2" s="1"/>
  <c r="B30" i="3"/>
  <c r="D25" i="3" s="1"/>
  <c r="C13" i="2"/>
  <c r="B19" i="2"/>
  <c r="D19" i="2" s="1"/>
  <c r="C14" i="2"/>
  <c r="A6" i="2"/>
  <c r="C17" i="3"/>
  <c r="B35" i="3"/>
  <c r="B37" i="3" s="1"/>
  <c r="D7" i="3" l="1"/>
  <c r="B23" i="2"/>
  <c r="D11" i="2"/>
  <c r="D12" i="2"/>
  <c r="B32" i="3"/>
  <c r="D11" i="3"/>
  <c r="D17" i="2"/>
  <c r="D30" i="3"/>
  <c r="D21" i="3"/>
  <c r="D22" i="3"/>
  <c r="D17" i="3"/>
  <c r="D20" i="3"/>
  <c r="D19" i="3"/>
  <c r="D24" i="3"/>
  <c r="D23" i="3"/>
  <c r="C23" i="2"/>
  <c r="D15" i="3"/>
  <c r="D27" i="3"/>
  <c r="D13" i="2"/>
  <c r="D9" i="3"/>
  <c r="M22" i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D21" i="2"/>
  <c r="D22" i="2"/>
  <c r="C30" i="3"/>
  <c r="D16" i="2"/>
  <c r="D8" i="3"/>
  <c r="D23" i="2" l="1"/>
  <c r="E11" i="2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</calcChain>
</file>

<file path=xl/sharedStrings.xml><?xml version="1.0" encoding="utf-8"?>
<sst xmlns="http://schemas.openxmlformats.org/spreadsheetml/2006/main" count="267" uniqueCount="155">
  <si>
    <t>Buchungsjournal
Einnahmen-Überschuss-Rechnung · Geschäftsjahr 2026</t>
  </si>
  <si>
    <t>Aurelia Handels- und Dienstleistungs GmbH</t>
  </si>
  <si>
    <t>Lindenallee 8 · 30159 Hannover  ·  St.-Nr. 25/815/09876</t>
  </si>
  <si>
    <t>Anfangsbestand (€):</t>
  </si>
  <si>
    <t>Hinweis: Weiße Felder ausfüllen · getönte Felder (Art, USt-Betrag, Brutto, Kontostand) berechnen sich automatisch. Kategorie, Zahlungsart und USt-Satz per Dropdown wählen.</t>
  </si>
  <si>
    <t>Nr.</t>
  </si>
  <si>
    <t>Datum</t>
  </si>
  <si>
    <t>Beleg-Nr</t>
  </si>
  <si>
    <t>Beschreibung</t>
  </si>
  <si>
    <t>Kategorie</t>
  </si>
  <si>
    <t>Art</t>
  </si>
  <si>
    <t>Zahlungsart</t>
  </si>
  <si>
    <t>Netto (€)</t>
  </si>
  <si>
    <t>USt-Satz</t>
  </si>
  <si>
    <t>USt (€)</t>
  </si>
  <si>
    <t>Brutto (€)</t>
  </si>
  <si>
    <t>Monat</t>
  </si>
  <si>
    <t>Kontostand (€)</t>
  </si>
  <si>
    <t>RE-1001</t>
  </si>
  <si>
    <t>Büromiete 1. Quartal</t>
  </si>
  <si>
    <t>Raumkosten (Miete/Nebenkosten)</t>
  </si>
  <si>
    <t>Lastschrift</t>
  </si>
  <si>
    <t>Umsatzerlöse Dienstleistungen</t>
  </si>
  <si>
    <t>Einnahme</t>
  </si>
  <si>
    <t>Bank</t>
  </si>
  <si>
    <t>RE-1002</t>
  </si>
  <si>
    <t>Wareneinkauf Lieferant Meyer</t>
  </si>
  <si>
    <t>Wareneinkauf &amp; Material</t>
  </si>
  <si>
    <t>Umsatzerlöse Warenverkauf</t>
  </si>
  <si>
    <t>Bar</t>
  </si>
  <si>
    <t>ER-2026-001</t>
  </si>
  <si>
    <t>Beratungshonorar Projekt Nord</t>
  </si>
  <si>
    <t>Sonstige betriebliche Einnahmen</t>
  </si>
  <si>
    <t>Kreditkarte</t>
  </si>
  <si>
    <t>RE-1003</t>
  </si>
  <si>
    <t>Mobilfunk &amp; Internet</t>
  </si>
  <si>
    <t>Telekommunikation &amp; Internet</t>
  </si>
  <si>
    <t>Zinsen &amp; sonstige Erträge</t>
  </si>
  <si>
    <t>PayPal</t>
  </si>
  <si>
    <t>RE-1004</t>
  </si>
  <si>
    <t>Kontoführungsgebühren</t>
  </si>
  <si>
    <t>Zinsen &amp; Bankgebühren</t>
  </si>
  <si>
    <t>Ausgabe</t>
  </si>
  <si>
    <t>RE-1005</t>
  </si>
  <si>
    <t>Tankfüllung Firmenwagen</t>
  </si>
  <si>
    <t>Kfz-Kosten</t>
  </si>
  <si>
    <t>Fremdleistungen</t>
  </si>
  <si>
    <t>ER-2026-002</t>
  </si>
  <si>
    <t>Beratungshonorar Projekt Süd</t>
  </si>
  <si>
    <t>Personalkosten</t>
  </si>
  <si>
    <t>RE-1006</t>
  </si>
  <si>
    <t>Werbeanzeigen Online</t>
  </si>
  <si>
    <t>Werbekosten</t>
  </si>
  <si>
    <t>ER-2026-003</t>
  </si>
  <si>
    <t>Warenverkauf Charge A</t>
  </si>
  <si>
    <t>RE-1007</t>
  </si>
  <si>
    <t>Bürobedarf &amp; Porto</t>
  </si>
  <si>
    <t>Reisekosten</t>
  </si>
  <si>
    <t>RE-1008</t>
  </si>
  <si>
    <t>Betriebshaftpflicht Beitrag</t>
  </si>
  <si>
    <t>Versicherungen &amp; Beiträge</t>
  </si>
  <si>
    <t>ER-2026-004</t>
  </si>
  <si>
    <t>Warenverkauf Charge B</t>
  </si>
  <si>
    <t>RE-1009</t>
  </si>
  <si>
    <t>Wareneinkauf Lieferant Kraus</t>
  </si>
  <si>
    <t>RE-1010</t>
  </si>
  <si>
    <t>Fachseminar &amp; Fachbücher</t>
  </si>
  <si>
    <t>Fortbildung</t>
  </si>
  <si>
    <t>ER-2026-005</t>
  </si>
  <si>
    <t>Projekthonorar Mai</t>
  </si>
  <si>
    <t>RE-1011</t>
  </si>
  <si>
    <t>Fremdleistung Grafikdesign</t>
  </si>
  <si>
    <t>Abschreibungen (AfA)</t>
  </si>
  <si>
    <t>RE-1012</t>
  </si>
  <si>
    <t>Hotelübernachtung Geschäftsreise</t>
  </si>
  <si>
    <t>RE-1013</t>
  </si>
  <si>
    <t>Steuerberatung 1. Quartal</t>
  </si>
  <si>
    <t>Rechts- &amp; Beratungskosten</t>
  </si>
  <si>
    <t>ER-2026-006</t>
  </si>
  <si>
    <t>Warenverkauf Onlineshop</t>
  </si>
  <si>
    <t>Sonstige Ausgaben</t>
  </si>
  <si>
    <t>ZI-2026-001</t>
  </si>
  <si>
    <t>Zinsgutschrift Geschäftskonto</t>
  </si>
  <si>
    <t>RE-1015</t>
  </si>
  <si>
    <t>Büromiete 3. Quartal</t>
  </si>
  <si>
    <t>RE-1014</t>
  </si>
  <si>
    <t>Softwarelizenz Jahresabo</t>
  </si>
  <si>
    <t>ER-2026-007</t>
  </si>
  <si>
    <t>Projekthonorar Juli</t>
  </si>
  <si>
    <t>ER-2026-008</t>
  </si>
  <si>
    <t>Verkauf gebrauchtes Anlagegut</t>
  </si>
  <si>
    <t>ER-2026-009</t>
  </si>
  <si>
    <t>Beratungshonorar September</t>
  </si>
  <si>
    <t>RE-1016</t>
  </si>
  <si>
    <t>Abschreibung Notebook (AfA anteilig)</t>
  </si>
  <si>
    <t>RE-1017</t>
  </si>
  <si>
    <t>Lohn Aushilfskraft Oktober</t>
  </si>
  <si>
    <t>RE-1018</t>
  </si>
  <si>
    <t>ER-2026-010</t>
  </si>
  <si>
    <t>Projekthonorar November</t>
  </si>
  <si>
    <t>ER-2026-011</t>
  </si>
  <si>
    <t>Warenverkauf Weihnachtsgeschäft</t>
  </si>
  <si>
    <t>RE-1019</t>
  </si>
  <si>
    <t>Steuerberatung Jahresabschluss</t>
  </si>
  <si>
    <t>RE-1020</t>
  </si>
  <si>
    <t>Summe (alle Buchungen)</t>
  </si>
  <si>
    <t>Aurelia Handels- und Dienstleistungs GmbH
Lindenallee 8 · 30159 Hannover</t>
  </si>
  <si>
    <t>BETRIEBSEINNAHMEN</t>
  </si>
  <si>
    <t>BETRIEBSAUSGABEN</t>
  </si>
  <si>
    <t>ERGEBNIS</t>
  </si>
  <si>
    <t>UST-ZAHLLAST</t>
  </si>
  <si>
    <t>ANZAHL BUCHUNGEN</t>
  </si>
  <si>
    <t xml:space="preserve">  Monatsübersicht</t>
  </si>
  <si>
    <t>Einnahmen (€)</t>
  </si>
  <si>
    <t>Ausgaben (€)</t>
  </si>
  <si>
    <t>Ergebnis (€)</t>
  </si>
  <si>
    <t>Kumuliert (€)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</si>
  <si>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</si>
  <si>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</si>
  <si>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</si>
  <si>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</si>
  <si>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</si>
  <si>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</si>
  <si>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</si>
  <si>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</si>
  <si>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</si>
  <si>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</si>
  <si>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</si>
  <si>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</si>
  <si>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</si>
  <si>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Hinweis: Alle Werte werden automatisch aus dem Blatt „Buchungen“ ermittelt. Das Ergebnis (Gewinn/Verlust) ist die Differenz der Netto-Beträge (§ 4 Abs. 3 EStG). Die USt-Zahllast ist ein Richtwert für die Umsatzsteuer-Voranmeldung.</t>
  </si>
  <si>
    <t xml:space="preserve">  Stammdaten</t>
  </si>
  <si>
    <t>Unternehmen</t>
  </si>
  <si>
    <t>Anschrift</t>
  </si>
  <si>
    <t>Lindenallee 8 · 30159 Hannover</t>
  </si>
  <si>
    <t>Steuernummer</t>
  </si>
  <si>
    <t>25/815/09876</t>
  </si>
  <si>
    <t>USt-IdNr.</t>
  </si>
  <si>
    <t>DE256789123</t>
  </si>
  <si>
    <t>Geschäftsjahr</t>
  </si>
  <si>
    <t>2026</t>
  </si>
  <si>
    <t>EÜR-Auswertung nach Kategorien
Geschäftsjahr 2026</t>
  </si>
  <si>
    <t xml:space="preserve">  Betriebseinnahmen</t>
  </si>
  <si>
    <t>Anteil %</t>
  </si>
  <si>
    <t>Summe Betriebseinnahmen</t>
  </si>
  <si>
    <t xml:space="preserve">  Betriebsausgaben</t>
  </si>
  <si>
    <t>Summe Betriebsausgaben</t>
  </si>
  <si>
    <t>ERGEBNIS (Gewinn / Verlust)</t>
  </si>
  <si>
    <t>netto</t>
  </si>
  <si>
    <t xml:space="preserve">  Umsatzsteuer-Übersicht</t>
  </si>
  <si>
    <t>Vereinnahmte Umsatzsteuer</t>
  </si>
  <si>
    <t>Abziehbare Vorsteuer</t>
  </si>
  <si>
    <t>USt-Zahllast</t>
  </si>
  <si>
    <t>Hinweis: Auswertung wird automatisch aus dem Blatt „Buchungen“ berechnet (SUMIFS je Kategorie). Gewinnermittlung nach § 4 Abs. 3 EStG auf Netto-Basis. Bei Kleinunternehmern nach § 19 UStG entfällt die USt-Zahllast (USt-Satz 0 % erfassen).</t>
  </si>
  <si>
    <t>Einnahmen-Überschuss-Rechnung
Jahresübersicht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</si>
</sst>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0.0%"/>
  </numFmts>
  <fonts count="20" x14ac:knownFonts="1">
    <font>
      <sz val="11"/>
      <color theme="1"/>
      <name val="Calibri"/>
      <family val="2"/>
      <charset val="1"/>
    </font>
    <font>
      <b/>
      <sz val="17"/>
      <color rgb="FFFFFFFF"/>
      <name val="Calibri"/>
      <charset val="1"/>
    </font>
    <font>
      <b/>
      <sz val="11"/>
      <color rgb="FF1F3A5F"/>
      <name val="Calibri"/>
      <charset val="1"/>
    </font>
    <font>
      <sz val="8.5"/>
      <color rgb="FF5A6472"/>
      <name val="Calibri"/>
      <charset val="1"/>
    </font>
    <font>
      <b/>
      <sz val="9.5"/>
      <color rgb="FF22303F"/>
      <name val="Calibri"/>
      <charset val="1"/>
    </font>
    <font>
      <b/>
      <sz val="10"/>
      <color rgb="FF1F3A5F"/>
      <name val="Calibri"/>
      <charset val="1"/>
    </font>
    <font>
      <i/>
      <sz val="8.5"/>
      <color rgb="FF5A6472"/>
      <name val="Calibri"/>
      <charset val="1"/>
    </font>
    <font>
      <b/>
      <sz val="9.5"/>
      <color rgb="FFFFFFFF"/>
      <name val="Calibri"/>
      <charset val="1"/>
    </font>
    <font>
      <sz val="9.5"/>
      <color rgb="FF22303F"/>
      <name val="Calibri"/>
      <charset val="1"/>
    </font>
    <font>
      <b/>
      <sz val="10"/>
      <color rgb="FFFFFFFF"/>
      <name val="Calibri"/>
      <charset val="1"/>
    </font>
    <font>
      <b/>
      <sz val="18"/>
      <color rgb="FFFFFFFF"/>
      <name val="Calibri"/>
      <charset val="1"/>
    </font>
    <font>
      <sz val="9"/>
      <color rgb="FFD6DEEA"/>
      <name val="Calibri"/>
      <charset val="1"/>
    </font>
    <font>
      <b/>
      <sz val="8"/>
      <color rgb="FF5A6472"/>
      <name val="Calibri"/>
      <charset val="1"/>
    </font>
    <font>
      <b/>
      <sz val="15"/>
      <color rgb="FF1F3A5F"/>
      <name val="Calibri"/>
      <charset val="1"/>
    </font>
    <font>
      <b/>
      <sz val="15"/>
      <color rgb="FF8F5628"/>
      <name val="Calibri"/>
      <charset val="1"/>
    </font>
    <font>
      <b/>
      <sz val="9"/>
      <color rgb="FFFFFFFF"/>
      <name val="Calibri"/>
      <charset val="1"/>
    </font>
    <font>
      <b/>
      <sz val="9"/>
      <color rgb="FF5A6472"/>
      <name val="Calibri"/>
      <charset val="1"/>
    </font>
    <font>
      <sz val="9"/>
      <color rgb="FF22303F"/>
      <name val="Calibri"/>
      <charset val="1"/>
    </font>
    <font>
      <b/>
      <sz val="12"/>
      <color rgb="FFFFFFFF"/>
      <name val="Calibri"/>
      <charset val="1"/>
    </font>
    <font>
      <b/>
      <sz val="13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A5F"/>
        <bgColor rgb="FF22303F"/>
      </patternFill>
    </fill>
    <fill>
      <patternFill patternType="solid">
        <fgColor rgb="FFB0703A"/>
        <bgColor rgb="FF8F5628"/>
      </patternFill>
    </fill>
    <fill>
      <patternFill patternType="solid">
        <fgColor rgb="FFF6ECE1"/>
        <bgColor rgb="FFEEF1F5"/>
      </patternFill>
    </fill>
    <fill>
      <patternFill patternType="solid">
        <fgColor rgb="FFFFFFFF"/>
        <bgColor rgb="FFF7F9FB"/>
      </patternFill>
    </fill>
    <fill>
      <patternFill patternType="solid">
        <fgColor rgb="FFE9EDF2"/>
        <bgColor rgb="FFEEF1F5"/>
      </patternFill>
    </fill>
    <fill>
      <patternFill patternType="solid">
        <fgColor rgb="FFF7F9FB"/>
        <bgColor rgb="FFFFFFFF"/>
      </patternFill>
    </fill>
    <fill>
      <patternFill patternType="solid">
        <fgColor rgb="FF162B45"/>
        <bgColor rgb="FF22303F"/>
      </patternFill>
    </fill>
    <fill>
      <patternFill patternType="solid">
        <fgColor rgb="FFEEF1F5"/>
        <bgColor rgb="FFE9EDF2"/>
      </patternFill>
    </fill>
    <fill>
      <patternFill patternType="solid">
        <fgColor rgb="FF8F5628"/>
        <bgColor rgb="FFB0703A"/>
      </patternFill>
    </fill>
  </fills>
  <borders count="9">
    <border>
      <left/>
      <right/>
      <top/>
      <bottom/>
      <diagonal/>
    </border>
    <border>
      <left style="thin">
        <color rgb="FFB0703A"/>
      </left>
      <right style="thin">
        <color rgb="FFB0703A"/>
      </right>
      <top style="thin">
        <color rgb="FFB0703A"/>
      </top>
      <bottom style="thin">
        <color rgb="FFB0703A"/>
      </bottom>
      <diagonal/>
    </border>
    <border>
      <left style="thin">
        <color rgb="FF1F3A5F"/>
      </left>
      <right style="thin">
        <color rgb="FF1F3A5F"/>
      </right>
      <top style="thin">
        <color rgb="FF1F3A5F"/>
      </top>
      <bottom style="thin">
        <color rgb="FF1F3A5F"/>
      </bottom>
      <diagonal/>
    </border>
    <border>
      <left style="thin">
        <color rgb="FFD5DCE4"/>
      </left>
      <right style="thin">
        <color rgb="FFD5DCE4"/>
      </right>
      <top style="thin">
        <color rgb="FFD5DCE4"/>
      </top>
      <bottom style="thin">
        <color rgb="FFD5DCE4"/>
      </bottom>
      <diagonal/>
    </border>
    <border>
      <left/>
      <right/>
      <top style="medium">
        <color rgb="FFB0703A"/>
      </top>
      <bottom/>
      <diagonal/>
    </border>
    <border>
      <left style="thin">
        <color rgb="FFD5DCE4"/>
      </left>
      <right style="thin">
        <color rgb="FFD5DCE4"/>
      </right>
      <top style="medium">
        <color rgb="FFB0703A"/>
      </top>
      <bottom/>
      <diagonal/>
    </border>
    <border>
      <left style="thin">
        <color rgb="FFD5DCE4"/>
      </left>
      <right style="thin">
        <color rgb="FFD5DCE4"/>
      </right>
      <top/>
      <bottom style="thin">
        <color rgb="FFD5DCE4"/>
      </bottom>
      <diagonal/>
    </border>
    <border>
      <left style="thick">
        <color rgb="FFB0703A"/>
      </left>
      <right/>
      <top/>
      <bottom style="thin">
        <color rgb="FFD5DCE4"/>
      </bottom>
      <diagonal/>
    </border>
    <border>
      <left/>
      <right/>
      <top style="medium">
        <color rgb="FF1F3A5F"/>
      </top>
      <bottom style="medium">
        <color rgb="FF1F3A5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wrapText="1" indent="1"/>
    </xf>
    <xf numFmtId="0" fontId="17" fillId="0" borderId="0" xfId="0" applyFont="1" applyAlignment="1">
      <alignment horizontal="left" vertical="center"/>
    </xf>
    <xf numFmtId="0" fontId="5" fillId="9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top" wrapText="1" indent="1"/>
    </xf>
    <xf numFmtId="0" fontId="2" fillId="9" borderId="7" xfId="0" applyFont="1" applyFill="1" applyBorder="1" applyAlignment="1">
      <alignment horizontal="left" vertical="center"/>
    </xf>
    <xf numFmtId="1" fontId="13" fillId="9" borderId="6" xfId="0" applyNumberFormat="1" applyFont="1" applyFill="1" applyBorder="1" applyAlignment="1">
      <alignment horizontal="left" vertical="center" indent="1"/>
    </xf>
    <xf numFmtId="164" fontId="14" fillId="9" borderId="6" xfId="0" applyNumberFormat="1" applyFont="1" applyFill="1" applyBorder="1" applyAlignment="1">
      <alignment horizontal="left" vertical="center" indent="1"/>
    </xf>
    <xf numFmtId="164" fontId="13" fillId="9" borderId="6" xfId="0" applyNumberFormat="1" applyFont="1" applyFill="1" applyBorder="1" applyAlignment="1">
      <alignment horizontal="left" vertical="center" indent="1"/>
    </xf>
    <xf numFmtId="0" fontId="12" fillId="9" borderId="5" xfId="0" applyFont="1" applyFill="1" applyBorder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1"/>
    </xf>
    <xf numFmtId="0" fontId="0" fillId="3" borderId="0" xfId="0" applyFill="1"/>
    <xf numFmtId="164" fontId="5" fillId="4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right" vertical="center"/>
    </xf>
    <xf numFmtId="9" fontId="8" fillId="5" borderId="3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/>
    </xf>
    <xf numFmtId="165" fontId="8" fillId="7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center"/>
    </xf>
    <xf numFmtId="164" fontId="8" fillId="7" borderId="3" xfId="0" applyNumberFormat="1" applyFont="1" applyFill="1" applyBorder="1" applyAlignment="1">
      <alignment horizontal="right" vertical="center"/>
    </xf>
    <xf numFmtId="9" fontId="8" fillId="7" borderId="3" xfId="0" applyNumberFormat="1" applyFont="1" applyFill="1" applyBorder="1" applyAlignment="1">
      <alignment horizontal="center" vertical="center"/>
    </xf>
    <xf numFmtId="164" fontId="9" fillId="8" borderId="4" xfId="0" applyNumberFormat="1" applyFont="1" applyFill="1" applyBorder="1" applyAlignment="1">
      <alignment horizontal="right" vertical="center"/>
    </xf>
    <xf numFmtId="0" fontId="0" fillId="8" borderId="4" xfId="0" applyFill="1" applyBorder="1"/>
    <xf numFmtId="0" fontId="15" fillId="2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166" fontId="8" fillId="5" borderId="3" xfId="0" applyNumberFormat="1" applyFont="1" applyFill="1" applyBorder="1" applyAlignment="1">
      <alignment horizontal="center" vertical="center"/>
    </xf>
    <xf numFmtId="166" fontId="8" fillId="7" borderId="3" xfId="0" applyNumberFormat="1" applyFont="1" applyFill="1" applyBorder="1" applyAlignment="1">
      <alignment horizontal="center" vertical="center"/>
    </xf>
    <xf numFmtId="166" fontId="9" fillId="8" borderId="4" xfId="0" applyNumberFormat="1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left" vertical="center" indent="1"/>
    </xf>
    <xf numFmtId="0" fontId="11" fillId="10" borderId="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right" vertical="center"/>
    </xf>
    <xf numFmtId="0" fontId="9" fillId="8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9" fillId="8" borderId="4" xfId="0" applyFont="1" applyFill="1" applyBorder="1" applyAlignment="1">
      <alignment horizontal="right" vertical="center" indent="1"/>
    </xf>
    <xf numFmtId="164" fontId="19" fillId="10" borderId="8" xfId="0" applyNumberFormat="1" applyFont="1" applyFill="1" applyBorder="1" applyAlignment="1">
      <alignment horizontal="right" vertical="center"/>
    </xf>
    <xf numFmtId="164" fontId="8" fillId="5" borderId="3" xfId="0" applyNumberFormat="1" applyFont="1" applyFill="1" applyBorder="1" applyAlignment="1">
      <alignment horizontal="right" vertical="center"/>
    </xf>
    <xf numFmtId="164" fontId="8" fillId="7" borderId="3" xfId="0" applyNumberFormat="1" applyFont="1" applyFill="1" applyBorder="1" applyAlignment="1">
      <alignment horizontal="right" vertical="center"/>
    </xf>
    <xf numFmtId="164" fontId="9" fillId="8" borderId="4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 wrapText="1"/>
    </xf>
  </cellXfs>
  <cellStyles count="1">
    <cellStyle name="Standard" xfId="0" builtinId="0"/>
  </cellStyles>
  <dxfs count="5">
    <dxf>
      <font>
        <b/>
        <sz val="13"/>
        <color rgb="FFFFFFFF"/>
        <name val="Calibri"/>
        <charset val="1"/>
      </font>
      <fill>
        <patternFill>
          <bgColor rgb="FFB23A3A"/>
        </patternFill>
      </fill>
    </dxf>
    <dxf>
      <font>
        <b/>
        <sz val="9"/>
        <color rgb="FFB23A3A"/>
        <name val="Calibri"/>
        <charset val="1"/>
      </font>
    </dxf>
    <dxf>
      <font>
        <b/>
        <sz val="9"/>
        <color rgb="FFB23A3A"/>
        <name val="Calibri"/>
        <charset val="1"/>
      </font>
    </dxf>
    <dxf>
      <font>
        <b/>
        <sz val="9"/>
        <color rgb="FF8F5628"/>
        <name val="Calibri"/>
        <charset val="1"/>
      </font>
    </dxf>
    <dxf>
      <font>
        <b/>
        <sz val="9"/>
        <color rgb="FF1F3A5F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03A"/>
      <rgbColor rgb="FF800080"/>
      <rgbColor rgb="FF008080"/>
      <rgbColor rgb="FFD9D9D9"/>
      <rgbColor rgb="FF878787"/>
      <rgbColor rgb="FF9999FF"/>
      <rgbColor rgb="FFB23A3A"/>
      <rgbColor rgb="FFF7F9FB"/>
      <rgbColor rgb="FFE9EDF2"/>
      <rgbColor rgb="FF660066"/>
      <rgbColor rgb="FFFF8080"/>
      <rgbColor rgb="FF0066CC"/>
      <rgbColor rgb="FFD5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5"/>
      <rgbColor rgb="FFD6DEEA"/>
      <rgbColor rgb="FFF6ECE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2"/>
      <rgbColor rgb="FF969696"/>
      <rgbColor rgb="FF162B45"/>
      <rgbColor rgb="FF339966"/>
      <rgbColor rgb="FF003300"/>
      <rgbColor rgb="FF333300"/>
      <rgbColor rgb="FF8F5628"/>
      <rgbColor rgb="FF993366"/>
      <rgbColor rgb="FF1F3A5F"/>
      <rgbColor rgb="FF2230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Einnahmen und Ausgaben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Übersicht!$B$10</c:f>
              <c:strCache>
                <c:ptCount val="1"/>
                <c:pt idx="0">
                  <c:v>Einnahmen (€)</c:v>
                </c:pt>
              </c:strCache>
            </c:strRef>
          </c:tx>
          <c:spPr>
            <a:solidFill>
              <a:srgbClr val="1F3A5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Übersicht!$A$11:$A$22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Übersicht!$B$11:$B$22</c:f>
              <c:numCache>
                <c:formatCode>#,##0.00" €"</c:formatCode>
                <c:ptCount val="12"/>
                <c:pt idx="0">
                  <c:v>3200</c:v>
                </c:pt>
                <c:pt idx="1">
                  <c:v>2750</c:v>
                </c:pt>
                <c:pt idx="2">
                  <c:v>1840</c:v>
                </c:pt>
                <c:pt idx="3">
                  <c:v>960</c:v>
                </c:pt>
                <c:pt idx="4">
                  <c:v>4100</c:v>
                </c:pt>
                <c:pt idx="5">
                  <c:v>1268.5</c:v>
                </c:pt>
                <c:pt idx="6">
                  <c:v>3600</c:v>
                </c:pt>
                <c:pt idx="7">
                  <c:v>700</c:v>
                </c:pt>
                <c:pt idx="8">
                  <c:v>2950</c:v>
                </c:pt>
                <c:pt idx="9">
                  <c:v>0</c:v>
                </c:pt>
                <c:pt idx="10">
                  <c:v>3850</c:v>
                </c:pt>
                <c:pt idx="11">
                  <c:v>1670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3-4DCC-9E3C-F9B0599CC717}"/>
            </c:ext>
          </c:extLst>
        </c:ser>
        <c:ser>
          <c:idx val="1"/>
          <c:order val="1"/>
          <c:tx>
            <c:strRef>
              <c:f>Übersicht!$C$10</c:f>
              <c:strCache>
                <c:ptCount val="1"/>
                <c:pt idx="0">
                  <c:v>Ausgaben (€)</c:v>
                </c:pt>
              </c:strCache>
            </c:strRef>
          </c:tx>
          <c:spPr>
            <a:solidFill>
              <a:srgbClr val="B0703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Übersicht!$A$11:$A$22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Übersicht!$C$11:$C$22</c:f>
              <c:numCache>
                <c:formatCode>#,##0.00" €"</c:formatCode>
                <c:ptCount val="12"/>
                <c:pt idx="0">
                  <c:v>4094.8</c:v>
                </c:pt>
                <c:pt idx="1">
                  <c:v>392.4</c:v>
                </c:pt>
                <c:pt idx="2">
                  <c:v>274.3</c:v>
                </c:pt>
                <c:pt idx="3">
                  <c:v>1325</c:v>
                </c:pt>
                <c:pt idx="4">
                  <c:v>788</c:v>
                </c:pt>
                <c:pt idx="5">
                  <c:v>480</c:v>
                </c:pt>
                <c:pt idx="6">
                  <c:v>2790</c:v>
                </c:pt>
                <c:pt idx="7">
                  <c:v>0</c:v>
                </c:pt>
                <c:pt idx="8">
                  <c:v>330</c:v>
                </c:pt>
                <c:pt idx="9">
                  <c:v>2090</c:v>
                </c:pt>
                <c:pt idx="10">
                  <c:v>0</c:v>
                </c:pt>
                <c:pt idx="11">
                  <c:v>780.2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3-4DCC-9E3C-F9B0599CC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4731384"/>
        <c:axId val="85513701"/>
      </c:barChart>
      <c:catAx>
        <c:axId val="3473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513701"/>
        <c:crosses val="autoZero"/>
        <c:auto val="1"/>
        <c:lblAlgn val="ctr"/>
        <c:lblOffset val="100"/>
        <c:noMultiLvlLbl val="0"/>
      </c:catAx>
      <c:valAx>
        <c:axId val="85513701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4731384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Betriebsausgaben nach Kategorie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Auswertung!$B$14</c:f>
              <c:strCache>
                <c:ptCount val="1"/>
                <c:pt idx="0">
                  <c:v>Netto (€)</c:v>
                </c:pt>
              </c:strCache>
            </c:strRef>
          </c:tx>
          <c:spPr>
            <a:solidFill>
              <a:srgbClr val="1F3A5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Auswertung!$A$15:$A$29</c:f>
              <c:strCache>
                <c:ptCount val="15"/>
                <c:pt idx="0">
                  <c:v>Wareneinkauf &amp; Material</c:v>
                </c:pt>
                <c:pt idx="1">
                  <c:v>Fremdleistungen</c:v>
                </c:pt>
                <c:pt idx="2">
                  <c:v>Personalkosten</c:v>
                </c:pt>
                <c:pt idx="3">
                  <c:v>Raumkosten (Miete/Nebenkosten)</c:v>
                </c:pt>
                <c:pt idx="4">
                  <c:v>Kfz-Kosten</c:v>
                </c:pt>
                <c:pt idx="5">
                  <c:v>Reisekosten</c:v>
                </c:pt>
                <c:pt idx="6">
                  <c:v>Werbekosten</c:v>
                </c:pt>
                <c:pt idx="7">
                  <c:v>Bürobedarf &amp; Porto</c:v>
                </c:pt>
                <c:pt idx="8">
                  <c:v>Telekommunikation &amp; Internet</c:v>
                </c:pt>
                <c:pt idx="9">
                  <c:v>Versicherungen &amp; Beiträge</c:v>
                </c:pt>
                <c:pt idx="10">
                  <c:v>Fortbildung</c:v>
                </c:pt>
                <c:pt idx="11">
                  <c:v>Abschreibungen (AfA)</c:v>
                </c:pt>
                <c:pt idx="12">
                  <c:v>Zinsen &amp; Bankgebühren</c:v>
                </c:pt>
                <c:pt idx="13">
                  <c:v>Rechts- &amp; Beratungskosten</c:v>
                </c:pt>
                <c:pt idx="14">
                  <c:v>Sonstige Ausgaben</c:v>
                </c:pt>
              </c:strCache>
            </c:strRef>
          </c:cat>
          <c:val>
            <c:numRef>
              <c:f>Auswertung!$B$15:$B$29</c:f>
              <c:numCache>
                <c:formatCode>#,##0.00" €"</c:formatCode>
                <c:ptCount val="15"/>
                <c:pt idx="0">
                  <c:v>3620</c:v>
                </c:pt>
                <c:pt idx="1">
                  <c:v>620</c:v>
                </c:pt>
                <c:pt idx="2">
                  <c:v>1100</c:v>
                </c:pt>
                <c:pt idx="3">
                  <c:v>5100</c:v>
                </c:pt>
                <c:pt idx="4">
                  <c:v>182.60000000000002</c:v>
                </c:pt>
                <c:pt idx="5">
                  <c:v>168</c:v>
                </c:pt>
                <c:pt idx="6">
                  <c:v>300</c:v>
                </c:pt>
                <c:pt idx="7">
                  <c:v>64.3</c:v>
                </c:pt>
                <c:pt idx="8">
                  <c:v>79.900000000000006</c:v>
                </c:pt>
                <c:pt idx="9">
                  <c:v>210</c:v>
                </c:pt>
                <c:pt idx="10">
                  <c:v>145</c:v>
                </c:pt>
                <c:pt idx="11">
                  <c:v>330</c:v>
                </c:pt>
                <c:pt idx="12">
                  <c:v>14.9</c:v>
                </c:pt>
                <c:pt idx="13">
                  <c:v>1170</c:v>
                </c:pt>
                <c:pt idx="1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C-429C-8509-3008CF0CA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4573212"/>
        <c:axId val="87299060"/>
      </c:barChart>
      <c:catAx>
        <c:axId val="145732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7299060"/>
        <c:crosses val="autoZero"/>
        <c:auto val="1"/>
        <c:lblAlgn val="ctr"/>
        <c:lblOffset val="100"/>
        <c:noMultiLvlLbl val="0"/>
      </c:catAx>
      <c:valAx>
        <c:axId val="8729906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457321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13</xdr:col>
      <xdr:colOff>28575</xdr:colOff>
      <xdr:row>23</xdr:row>
      <xdr:rowOff>185040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9</xdr:col>
      <xdr:colOff>270720</xdr:colOff>
      <xdr:row>20</xdr:row>
      <xdr:rowOff>47520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12" customWidth="1"/>
    <col min="3" max="3" width="13" customWidth="1"/>
    <col min="4" max="4" width="34" customWidth="1"/>
    <col min="5" max="5" width="26" customWidth="1"/>
    <col min="6" max="6" width="11" customWidth="1"/>
    <col min="7" max="8" width="13" customWidth="1"/>
    <col min="9" max="9" width="9" customWidth="1"/>
    <col min="10" max="10" width="12" customWidth="1"/>
    <col min="11" max="11" width="13" customWidth="1"/>
    <col min="12" max="12" width="11" customWidth="1"/>
    <col min="13" max="13" width="14" customWidth="1"/>
    <col min="14" max="14" width="22" hidden="1" customWidth="1"/>
    <col min="16" max="19" width="22" hidden="1" customWidth="1"/>
  </cols>
  <sheetData>
    <row r="1" spans="1:19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9" ht="19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ht="3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9" ht="15.7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2" t="s">
        <v>2</v>
      </c>
      <c r="J4" s="2"/>
      <c r="K4" s="2"/>
      <c r="L4" s="2"/>
      <c r="M4" s="2"/>
    </row>
    <row r="6" spans="1:19" ht="25.5" customHeight="1" x14ac:dyDescent="0.25">
      <c r="A6" s="1" t="s">
        <v>3</v>
      </c>
      <c r="B6" s="1"/>
      <c r="C6" s="15">
        <v>0</v>
      </c>
      <c r="E6" s="42" t="s">
        <v>4</v>
      </c>
      <c r="F6" s="42"/>
      <c r="G6" s="42"/>
      <c r="H6" s="42"/>
      <c r="I6" s="42"/>
      <c r="J6" s="42"/>
      <c r="K6" s="42"/>
      <c r="L6" s="42"/>
      <c r="M6" s="42"/>
    </row>
    <row r="8" spans="1:19" ht="25.5" customHeight="1" x14ac:dyDescent="0.25">
      <c r="A8" s="16" t="s">
        <v>5</v>
      </c>
      <c r="B8" s="16" t="s">
        <v>6</v>
      </c>
      <c r="C8" s="16" t="s">
        <v>7</v>
      </c>
      <c r="D8" s="16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6" t="s">
        <v>13</v>
      </c>
      <c r="J8" s="16" t="s">
        <v>14</v>
      </c>
      <c r="K8" s="16" t="s">
        <v>15</v>
      </c>
      <c r="L8" s="16" t="s">
        <v>16</v>
      </c>
      <c r="M8" s="16" t="s">
        <v>17</v>
      </c>
    </row>
    <row r="9" spans="1:19" ht="15" customHeight="1" x14ac:dyDescent="0.25">
      <c r="A9" s="17">
        <f t="shared" ref="A9:A42" si="0">IF(B9="","",ROW()-8)</f>
        <v>1</v>
      </c>
      <c r="B9" s="18">
        <v>46024</v>
      </c>
      <c r="C9" s="17" t="s">
        <v>18</v>
      </c>
      <c r="D9" s="19" t="s">
        <v>19</v>
      </c>
      <c r="E9" s="19" t="s">
        <v>20</v>
      </c>
      <c r="F9" s="20" t="str">
        <f t="shared" ref="F9:F42" si="1">IF(E9="","",IFERROR(INDEX($Q$9:$Q$27,MATCH(E9,$P$9:$P$27,0)),""))</f>
        <v>Ausgabe</v>
      </c>
      <c r="G9" s="17" t="s">
        <v>21</v>
      </c>
      <c r="H9" s="21">
        <v>2550</v>
      </c>
      <c r="I9" s="22">
        <v>0</v>
      </c>
      <c r="J9" s="23">
        <f t="shared" ref="J9:J42" si="2">IF(H9="","",H9*I9)</f>
        <v>0</v>
      </c>
      <c r="K9" s="23">
        <f t="shared" ref="K9:K42" si="3">IF(H9="","",H9+J9)</f>
        <v>2550</v>
      </c>
      <c r="L9" s="20" t="str">
        <f t="shared" ref="L9:L42" si="4">IF(B9="","",CHOOSE(MONTH(B9),"Januar","Februar","März","April","Mai","Juni","Juli","August","September","Oktober","November","Dezember"))</f>
        <v>Januar</v>
      </c>
      <c r="M9" s="23">
        <f>IF(B9="","",$C$6+IF(F9="Einnahme",K9,-K9))</f>
        <v>-2550</v>
      </c>
      <c r="N9">
        <f t="shared" ref="N9:N42" si="5">IF(B9="","",MONTH(B9))</f>
        <v>1</v>
      </c>
      <c r="P9" t="s">
        <v>22</v>
      </c>
      <c r="Q9" t="s">
        <v>23</v>
      </c>
      <c r="R9" t="s">
        <v>24</v>
      </c>
      <c r="S9">
        <v>0</v>
      </c>
    </row>
    <row r="10" spans="1:19" ht="15" customHeight="1" x14ac:dyDescent="0.25">
      <c r="A10" s="24">
        <f t="shared" si="0"/>
        <v>2</v>
      </c>
      <c r="B10" s="25">
        <v>46029</v>
      </c>
      <c r="C10" s="24" t="s">
        <v>25</v>
      </c>
      <c r="D10" s="26" t="s">
        <v>26</v>
      </c>
      <c r="E10" s="26" t="s">
        <v>27</v>
      </c>
      <c r="F10" s="20" t="str">
        <f t="shared" si="1"/>
        <v>Ausgabe</v>
      </c>
      <c r="G10" s="24" t="s">
        <v>24</v>
      </c>
      <c r="H10" s="27">
        <v>1450</v>
      </c>
      <c r="I10" s="28">
        <v>0.19</v>
      </c>
      <c r="J10" s="23">
        <f t="shared" si="2"/>
        <v>275.5</v>
      </c>
      <c r="K10" s="23">
        <f t="shared" si="3"/>
        <v>1725.5</v>
      </c>
      <c r="L10" s="20" t="str">
        <f t="shared" si="4"/>
        <v>Januar</v>
      </c>
      <c r="M10" s="23">
        <f t="shared" ref="M10:M42" si="6">IF(B10="","",N(M9)+IF(F10="Einnahme",K10,-K10))</f>
        <v>-4275.5</v>
      </c>
      <c r="N10">
        <f t="shared" si="5"/>
        <v>1</v>
      </c>
      <c r="P10" t="s">
        <v>28</v>
      </c>
      <c r="Q10" t="s">
        <v>23</v>
      </c>
      <c r="R10" t="s">
        <v>29</v>
      </c>
      <c r="S10">
        <v>7.0000000000000007E-2</v>
      </c>
    </row>
    <row r="11" spans="1:19" ht="15" customHeight="1" x14ac:dyDescent="0.25">
      <c r="A11" s="17">
        <f t="shared" si="0"/>
        <v>3</v>
      </c>
      <c r="B11" s="18">
        <v>46037</v>
      </c>
      <c r="C11" s="17" t="s">
        <v>30</v>
      </c>
      <c r="D11" s="19" t="s">
        <v>31</v>
      </c>
      <c r="E11" s="19" t="s">
        <v>22</v>
      </c>
      <c r="F11" s="20" t="str">
        <f t="shared" si="1"/>
        <v>Einnahme</v>
      </c>
      <c r="G11" s="17" t="s">
        <v>24</v>
      </c>
      <c r="H11" s="21">
        <v>3200</v>
      </c>
      <c r="I11" s="22">
        <v>0.19</v>
      </c>
      <c r="J11" s="23">
        <f t="shared" si="2"/>
        <v>608</v>
      </c>
      <c r="K11" s="23">
        <f t="shared" si="3"/>
        <v>3808</v>
      </c>
      <c r="L11" s="20" t="str">
        <f t="shared" si="4"/>
        <v>Januar</v>
      </c>
      <c r="M11" s="23">
        <f t="shared" si="6"/>
        <v>-467.5</v>
      </c>
      <c r="N11">
        <f t="shared" si="5"/>
        <v>1</v>
      </c>
      <c r="P11" t="s">
        <v>32</v>
      </c>
      <c r="Q11" t="s">
        <v>23</v>
      </c>
      <c r="R11" t="s">
        <v>33</v>
      </c>
      <c r="S11">
        <v>0.19</v>
      </c>
    </row>
    <row r="12" spans="1:19" ht="15" customHeight="1" x14ac:dyDescent="0.25">
      <c r="A12" s="24">
        <f t="shared" si="0"/>
        <v>4</v>
      </c>
      <c r="B12" s="25">
        <v>46037</v>
      </c>
      <c r="C12" s="24" t="s">
        <v>34</v>
      </c>
      <c r="D12" s="26" t="s">
        <v>35</v>
      </c>
      <c r="E12" s="26" t="s">
        <v>36</v>
      </c>
      <c r="F12" s="20" t="str">
        <f t="shared" si="1"/>
        <v>Ausgabe</v>
      </c>
      <c r="G12" s="24" t="s">
        <v>21</v>
      </c>
      <c r="H12" s="27">
        <v>79.900000000000006</v>
      </c>
      <c r="I12" s="28">
        <v>0.19</v>
      </c>
      <c r="J12" s="23">
        <f t="shared" si="2"/>
        <v>15.181000000000001</v>
      </c>
      <c r="K12" s="23">
        <f t="shared" si="3"/>
        <v>95.081000000000003</v>
      </c>
      <c r="L12" s="20" t="str">
        <f t="shared" si="4"/>
        <v>Januar</v>
      </c>
      <c r="M12" s="23">
        <f t="shared" si="6"/>
        <v>-562.58100000000002</v>
      </c>
      <c r="N12">
        <f t="shared" si="5"/>
        <v>1</v>
      </c>
      <c r="P12" t="s">
        <v>37</v>
      </c>
      <c r="Q12" t="s">
        <v>23</v>
      </c>
      <c r="R12" t="s">
        <v>38</v>
      </c>
    </row>
    <row r="13" spans="1:19" ht="15" customHeight="1" x14ac:dyDescent="0.25">
      <c r="A13" s="17">
        <f t="shared" si="0"/>
        <v>5</v>
      </c>
      <c r="B13" s="18">
        <v>46053</v>
      </c>
      <c r="C13" s="17" t="s">
        <v>39</v>
      </c>
      <c r="D13" s="19" t="s">
        <v>40</v>
      </c>
      <c r="E13" s="19" t="s">
        <v>41</v>
      </c>
      <c r="F13" s="20" t="str">
        <f t="shared" si="1"/>
        <v>Ausgabe</v>
      </c>
      <c r="G13" s="17" t="s">
        <v>21</v>
      </c>
      <c r="H13" s="21">
        <v>14.9</v>
      </c>
      <c r="I13" s="22">
        <v>0</v>
      </c>
      <c r="J13" s="23">
        <f t="shared" si="2"/>
        <v>0</v>
      </c>
      <c r="K13" s="23">
        <f t="shared" si="3"/>
        <v>14.9</v>
      </c>
      <c r="L13" s="20" t="str">
        <f t="shared" si="4"/>
        <v>Januar</v>
      </c>
      <c r="M13" s="23">
        <f t="shared" si="6"/>
        <v>-577.48099999999999</v>
      </c>
      <c r="N13">
        <f t="shared" si="5"/>
        <v>1</v>
      </c>
      <c r="P13" t="s">
        <v>27</v>
      </c>
      <c r="Q13" t="s">
        <v>42</v>
      </c>
      <c r="R13" t="s">
        <v>21</v>
      </c>
    </row>
    <row r="14" spans="1:19" ht="15" customHeight="1" x14ac:dyDescent="0.25">
      <c r="A14" s="24">
        <f t="shared" si="0"/>
        <v>6</v>
      </c>
      <c r="B14" s="25">
        <v>46062</v>
      </c>
      <c r="C14" s="24" t="s">
        <v>43</v>
      </c>
      <c r="D14" s="26" t="s">
        <v>44</v>
      </c>
      <c r="E14" s="26" t="s">
        <v>45</v>
      </c>
      <c r="F14" s="20" t="str">
        <f t="shared" si="1"/>
        <v>Ausgabe</v>
      </c>
      <c r="G14" s="24" t="s">
        <v>33</v>
      </c>
      <c r="H14" s="27">
        <v>92.4</v>
      </c>
      <c r="I14" s="28">
        <v>0.19</v>
      </c>
      <c r="J14" s="23">
        <f t="shared" si="2"/>
        <v>17.556000000000001</v>
      </c>
      <c r="K14" s="23">
        <f t="shared" si="3"/>
        <v>109.956</v>
      </c>
      <c r="L14" s="20" t="str">
        <f t="shared" si="4"/>
        <v>Februar</v>
      </c>
      <c r="M14" s="23">
        <f t="shared" si="6"/>
        <v>-687.43700000000001</v>
      </c>
      <c r="N14">
        <f t="shared" si="5"/>
        <v>2</v>
      </c>
      <c r="P14" t="s">
        <v>46</v>
      </c>
      <c r="Q14" t="s">
        <v>42</v>
      </c>
    </row>
    <row r="15" spans="1:19" ht="15" customHeight="1" x14ac:dyDescent="0.25">
      <c r="A15" s="17">
        <f t="shared" si="0"/>
        <v>7</v>
      </c>
      <c r="B15" s="18">
        <v>46065</v>
      </c>
      <c r="C15" s="17" t="s">
        <v>47</v>
      </c>
      <c r="D15" s="19" t="s">
        <v>48</v>
      </c>
      <c r="E15" s="19" t="s">
        <v>22</v>
      </c>
      <c r="F15" s="20" t="str">
        <f t="shared" si="1"/>
        <v>Einnahme</v>
      </c>
      <c r="G15" s="17" t="s">
        <v>24</v>
      </c>
      <c r="H15" s="21">
        <v>2750</v>
      </c>
      <c r="I15" s="22">
        <v>0.19</v>
      </c>
      <c r="J15" s="23">
        <f t="shared" si="2"/>
        <v>522.5</v>
      </c>
      <c r="K15" s="23">
        <f t="shared" si="3"/>
        <v>3272.5</v>
      </c>
      <c r="L15" s="20" t="str">
        <f t="shared" si="4"/>
        <v>Februar</v>
      </c>
      <c r="M15" s="23">
        <f t="shared" si="6"/>
        <v>2585.0630000000001</v>
      </c>
      <c r="N15">
        <f t="shared" si="5"/>
        <v>2</v>
      </c>
      <c r="P15" t="s">
        <v>49</v>
      </c>
      <c r="Q15" t="s">
        <v>42</v>
      </c>
    </row>
    <row r="16" spans="1:19" ht="15" customHeight="1" x14ac:dyDescent="0.25">
      <c r="A16" s="24">
        <f t="shared" si="0"/>
        <v>8</v>
      </c>
      <c r="B16" s="25">
        <v>46073</v>
      </c>
      <c r="C16" s="24" t="s">
        <v>50</v>
      </c>
      <c r="D16" s="26" t="s">
        <v>51</v>
      </c>
      <c r="E16" s="26" t="s">
        <v>52</v>
      </c>
      <c r="F16" s="20" t="str">
        <f t="shared" si="1"/>
        <v>Ausgabe</v>
      </c>
      <c r="G16" s="24" t="s">
        <v>33</v>
      </c>
      <c r="H16" s="27">
        <v>300</v>
      </c>
      <c r="I16" s="28">
        <v>0.19</v>
      </c>
      <c r="J16" s="23">
        <f t="shared" si="2"/>
        <v>57</v>
      </c>
      <c r="K16" s="23">
        <f t="shared" si="3"/>
        <v>357</v>
      </c>
      <c r="L16" s="20" t="str">
        <f t="shared" si="4"/>
        <v>Februar</v>
      </c>
      <c r="M16" s="23">
        <f t="shared" si="6"/>
        <v>2228.0630000000001</v>
      </c>
      <c r="N16">
        <f t="shared" si="5"/>
        <v>2</v>
      </c>
      <c r="P16" t="s">
        <v>20</v>
      </c>
      <c r="Q16" t="s">
        <v>42</v>
      </c>
    </row>
    <row r="17" spans="1:17" ht="15" customHeight="1" x14ac:dyDescent="0.25">
      <c r="A17" s="17">
        <f t="shared" si="0"/>
        <v>9</v>
      </c>
      <c r="B17" s="18">
        <v>46084</v>
      </c>
      <c r="C17" s="17" t="s">
        <v>53</v>
      </c>
      <c r="D17" s="19" t="s">
        <v>54</v>
      </c>
      <c r="E17" s="19" t="s">
        <v>28</v>
      </c>
      <c r="F17" s="20" t="str">
        <f t="shared" si="1"/>
        <v>Einnahme</v>
      </c>
      <c r="G17" s="17" t="s">
        <v>24</v>
      </c>
      <c r="H17" s="21">
        <v>1840</v>
      </c>
      <c r="I17" s="22">
        <v>0.19</v>
      </c>
      <c r="J17" s="23">
        <f t="shared" si="2"/>
        <v>349.6</v>
      </c>
      <c r="K17" s="23">
        <f t="shared" si="3"/>
        <v>2189.6</v>
      </c>
      <c r="L17" s="20" t="str">
        <f t="shared" si="4"/>
        <v>März</v>
      </c>
      <c r="M17" s="23">
        <f t="shared" si="6"/>
        <v>4417.6630000000005</v>
      </c>
      <c r="N17">
        <f t="shared" si="5"/>
        <v>3</v>
      </c>
      <c r="P17" t="s">
        <v>45</v>
      </c>
      <c r="Q17" t="s">
        <v>42</v>
      </c>
    </row>
    <row r="18" spans="1:17" ht="15" customHeight="1" x14ac:dyDescent="0.25">
      <c r="A18" s="24">
        <f t="shared" si="0"/>
        <v>10</v>
      </c>
      <c r="B18" s="25">
        <v>46093</v>
      </c>
      <c r="C18" s="24" t="s">
        <v>55</v>
      </c>
      <c r="D18" s="26" t="s">
        <v>56</v>
      </c>
      <c r="E18" s="26" t="s">
        <v>56</v>
      </c>
      <c r="F18" s="20" t="str">
        <f t="shared" si="1"/>
        <v>Ausgabe</v>
      </c>
      <c r="G18" s="24" t="s">
        <v>29</v>
      </c>
      <c r="H18" s="27">
        <v>64.3</v>
      </c>
      <c r="I18" s="28">
        <v>0.19</v>
      </c>
      <c r="J18" s="23">
        <f t="shared" si="2"/>
        <v>12.216999999999999</v>
      </c>
      <c r="K18" s="23">
        <f t="shared" si="3"/>
        <v>76.516999999999996</v>
      </c>
      <c r="L18" s="20" t="str">
        <f t="shared" si="4"/>
        <v>März</v>
      </c>
      <c r="M18" s="23">
        <f t="shared" si="6"/>
        <v>4341.1460000000006</v>
      </c>
      <c r="N18">
        <f t="shared" si="5"/>
        <v>3</v>
      </c>
      <c r="P18" t="s">
        <v>57</v>
      </c>
      <c r="Q18" t="s">
        <v>42</v>
      </c>
    </row>
    <row r="19" spans="1:17" ht="15" customHeight="1" x14ac:dyDescent="0.25">
      <c r="A19" s="17">
        <f t="shared" si="0"/>
        <v>11</v>
      </c>
      <c r="B19" s="18">
        <v>46106</v>
      </c>
      <c r="C19" s="17" t="s">
        <v>58</v>
      </c>
      <c r="D19" s="19" t="s">
        <v>59</v>
      </c>
      <c r="E19" s="19" t="s">
        <v>60</v>
      </c>
      <c r="F19" s="20" t="str">
        <f t="shared" si="1"/>
        <v>Ausgabe</v>
      </c>
      <c r="G19" s="17" t="s">
        <v>21</v>
      </c>
      <c r="H19" s="21">
        <v>210</v>
      </c>
      <c r="I19" s="22">
        <v>0</v>
      </c>
      <c r="J19" s="23">
        <f t="shared" si="2"/>
        <v>0</v>
      </c>
      <c r="K19" s="23">
        <f t="shared" si="3"/>
        <v>210</v>
      </c>
      <c r="L19" s="20" t="str">
        <f t="shared" si="4"/>
        <v>März</v>
      </c>
      <c r="M19" s="23">
        <f t="shared" si="6"/>
        <v>4131.1460000000006</v>
      </c>
      <c r="N19">
        <f t="shared" si="5"/>
        <v>3</v>
      </c>
      <c r="P19" t="s">
        <v>52</v>
      </c>
      <c r="Q19" t="s">
        <v>42</v>
      </c>
    </row>
    <row r="20" spans="1:17" ht="15" customHeight="1" x14ac:dyDescent="0.25">
      <c r="A20" s="24">
        <f t="shared" si="0"/>
        <v>12</v>
      </c>
      <c r="B20" s="25">
        <v>46122</v>
      </c>
      <c r="C20" s="24" t="s">
        <v>61</v>
      </c>
      <c r="D20" s="26" t="s">
        <v>62</v>
      </c>
      <c r="E20" s="26" t="s">
        <v>28</v>
      </c>
      <c r="F20" s="20" t="str">
        <f t="shared" si="1"/>
        <v>Einnahme</v>
      </c>
      <c r="G20" s="24" t="s">
        <v>38</v>
      </c>
      <c r="H20" s="27">
        <v>960</v>
      </c>
      <c r="I20" s="28">
        <v>0.19</v>
      </c>
      <c r="J20" s="23">
        <f t="shared" si="2"/>
        <v>182.4</v>
      </c>
      <c r="K20" s="23">
        <f t="shared" si="3"/>
        <v>1142.4000000000001</v>
      </c>
      <c r="L20" s="20" t="str">
        <f t="shared" si="4"/>
        <v>April</v>
      </c>
      <c r="M20" s="23">
        <f t="shared" si="6"/>
        <v>5273.5460000000003</v>
      </c>
      <c r="N20">
        <f t="shared" si="5"/>
        <v>4</v>
      </c>
      <c r="P20" t="s">
        <v>56</v>
      </c>
      <c r="Q20" t="s">
        <v>42</v>
      </c>
    </row>
    <row r="21" spans="1:17" ht="15" customHeight="1" x14ac:dyDescent="0.25">
      <c r="A21" s="17">
        <f t="shared" si="0"/>
        <v>13</v>
      </c>
      <c r="B21" s="18">
        <v>46129</v>
      </c>
      <c r="C21" s="17" t="s">
        <v>63</v>
      </c>
      <c r="D21" s="19" t="s">
        <v>64</v>
      </c>
      <c r="E21" s="19" t="s">
        <v>27</v>
      </c>
      <c r="F21" s="20" t="str">
        <f t="shared" si="1"/>
        <v>Ausgabe</v>
      </c>
      <c r="G21" s="17" t="s">
        <v>24</v>
      </c>
      <c r="H21" s="21">
        <v>1180</v>
      </c>
      <c r="I21" s="22">
        <v>0.19</v>
      </c>
      <c r="J21" s="23">
        <f t="shared" si="2"/>
        <v>224.2</v>
      </c>
      <c r="K21" s="23">
        <f t="shared" si="3"/>
        <v>1404.2</v>
      </c>
      <c r="L21" s="20" t="str">
        <f t="shared" si="4"/>
        <v>April</v>
      </c>
      <c r="M21" s="23">
        <f t="shared" si="6"/>
        <v>3869.3460000000005</v>
      </c>
      <c r="N21">
        <f t="shared" si="5"/>
        <v>4</v>
      </c>
      <c r="P21" t="s">
        <v>36</v>
      </c>
      <c r="Q21" t="s">
        <v>42</v>
      </c>
    </row>
    <row r="22" spans="1:17" ht="15" customHeight="1" x14ac:dyDescent="0.25">
      <c r="A22" s="24">
        <f t="shared" si="0"/>
        <v>14</v>
      </c>
      <c r="B22" s="25">
        <v>46136</v>
      </c>
      <c r="C22" s="24" t="s">
        <v>65</v>
      </c>
      <c r="D22" s="26" t="s">
        <v>66</v>
      </c>
      <c r="E22" s="26" t="s">
        <v>67</v>
      </c>
      <c r="F22" s="20" t="str">
        <f t="shared" si="1"/>
        <v>Ausgabe</v>
      </c>
      <c r="G22" s="24" t="s">
        <v>33</v>
      </c>
      <c r="H22" s="27">
        <v>145</v>
      </c>
      <c r="I22" s="28">
        <v>7.0000000000000007E-2</v>
      </c>
      <c r="J22" s="23">
        <f t="shared" si="2"/>
        <v>10.15</v>
      </c>
      <c r="K22" s="23">
        <f t="shared" si="3"/>
        <v>155.15</v>
      </c>
      <c r="L22" s="20" t="str">
        <f t="shared" si="4"/>
        <v>April</v>
      </c>
      <c r="M22" s="23">
        <f t="shared" si="6"/>
        <v>3714.1960000000004</v>
      </c>
      <c r="N22">
        <f t="shared" si="5"/>
        <v>4</v>
      </c>
      <c r="P22" t="s">
        <v>60</v>
      </c>
      <c r="Q22" t="s">
        <v>42</v>
      </c>
    </row>
    <row r="23" spans="1:17" ht="15" customHeight="1" x14ac:dyDescent="0.25">
      <c r="A23" s="17">
        <f t="shared" si="0"/>
        <v>15</v>
      </c>
      <c r="B23" s="18">
        <v>46147</v>
      </c>
      <c r="C23" s="17" t="s">
        <v>68</v>
      </c>
      <c r="D23" s="19" t="s">
        <v>69</v>
      </c>
      <c r="E23" s="19" t="s">
        <v>22</v>
      </c>
      <c r="F23" s="20" t="str">
        <f t="shared" si="1"/>
        <v>Einnahme</v>
      </c>
      <c r="G23" s="17" t="s">
        <v>24</v>
      </c>
      <c r="H23" s="21">
        <v>4100</v>
      </c>
      <c r="I23" s="22">
        <v>0.19</v>
      </c>
      <c r="J23" s="23">
        <f t="shared" si="2"/>
        <v>779</v>
      </c>
      <c r="K23" s="23">
        <f t="shared" si="3"/>
        <v>4879</v>
      </c>
      <c r="L23" s="20" t="str">
        <f t="shared" si="4"/>
        <v>Mai</v>
      </c>
      <c r="M23" s="23">
        <f t="shared" si="6"/>
        <v>8593.1959999999999</v>
      </c>
      <c r="N23">
        <f t="shared" si="5"/>
        <v>5</v>
      </c>
      <c r="P23" t="s">
        <v>67</v>
      </c>
      <c r="Q23" t="s">
        <v>42</v>
      </c>
    </row>
    <row r="24" spans="1:17" ht="15" customHeight="1" x14ac:dyDescent="0.25">
      <c r="A24" s="24">
        <f t="shared" si="0"/>
        <v>16</v>
      </c>
      <c r="B24" s="25">
        <v>46161</v>
      </c>
      <c r="C24" s="24" t="s">
        <v>70</v>
      </c>
      <c r="D24" s="26" t="s">
        <v>71</v>
      </c>
      <c r="E24" s="26" t="s">
        <v>46</v>
      </c>
      <c r="F24" s="20" t="str">
        <f t="shared" si="1"/>
        <v>Ausgabe</v>
      </c>
      <c r="G24" s="24" t="s">
        <v>24</v>
      </c>
      <c r="H24" s="27">
        <v>620</v>
      </c>
      <c r="I24" s="28">
        <v>0.19</v>
      </c>
      <c r="J24" s="23">
        <f t="shared" si="2"/>
        <v>117.8</v>
      </c>
      <c r="K24" s="23">
        <f t="shared" si="3"/>
        <v>737.8</v>
      </c>
      <c r="L24" s="20" t="str">
        <f t="shared" si="4"/>
        <v>Mai</v>
      </c>
      <c r="M24" s="23">
        <f t="shared" si="6"/>
        <v>7855.3959999999997</v>
      </c>
      <c r="N24">
        <f t="shared" si="5"/>
        <v>5</v>
      </c>
      <c r="P24" t="s">
        <v>72</v>
      </c>
      <c r="Q24" t="s">
        <v>42</v>
      </c>
    </row>
    <row r="25" spans="1:17" ht="15" customHeight="1" x14ac:dyDescent="0.25">
      <c r="A25" s="17">
        <f t="shared" si="0"/>
        <v>17</v>
      </c>
      <c r="B25" s="18">
        <v>46170</v>
      </c>
      <c r="C25" s="17" t="s">
        <v>73</v>
      </c>
      <c r="D25" s="19" t="s">
        <v>74</v>
      </c>
      <c r="E25" s="19" t="s">
        <v>57</v>
      </c>
      <c r="F25" s="20" t="str">
        <f t="shared" si="1"/>
        <v>Ausgabe</v>
      </c>
      <c r="G25" s="17" t="s">
        <v>33</v>
      </c>
      <c r="H25" s="21">
        <v>168</v>
      </c>
      <c r="I25" s="22">
        <v>7.0000000000000007E-2</v>
      </c>
      <c r="J25" s="23">
        <f t="shared" si="2"/>
        <v>11.760000000000002</v>
      </c>
      <c r="K25" s="23">
        <f t="shared" si="3"/>
        <v>179.76</v>
      </c>
      <c r="L25" s="20" t="str">
        <f t="shared" si="4"/>
        <v>Mai</v>
      </c>
      <c r="M25" s="23">
        <f t="shared" si="6"/>
        <v>7675.6359999999995</v>
      </c>
      <c r="N25">
        <f t="shared" si="5"/>
        <v>5</v>
      </c>
      <c r="P25" t="s">
        <v>41</v>
      </c>
      <c r="Q25" t="s">
        <v>42</v>
      </c>
    </row>
    <row r="26" spans="1:17" ht="15" customHeight="1" x14ac:dyDescent="0.25">
      <c r="A26" s="24">
        <f t="shared" si="0"/>
        <v>18</v>
      </c>
      <c r="B26" s="25">
        <v>46176</v>
      </c>
      <c r="C26" s="24" t="s">
        <v>75</v>
      </c>
      <c r="D26" s="26" t="s">
        <v>76</v>
      </c>
      <c r="E26" s="26" t="s">
        <v>77</v>
      </c>
      <c r="F26" s="20" t="str">
        <f t="shared" si="1"/>
        <v>Ausgabe</v>
      </c>
      <c r="G26" s="24" t="s">
        <v>24</v>
      </c>
      <c r="H26" s="27">
        <v>480</v>
      </c>
      <c r="I26" s="28">
        <v>0.19</v>
      </c>
      <c r="J26" s="23">
        <f t="shared" si="2"/>
        <v>91.2</v>
      </c>
      <c r="K26" s="23">
        <f t="shared" si="3"/>
        <v>571.20000000000005</v>
      </c>
      <c r="L26" s="20" t="str">
        <f t="shared" si="4"/>
        <v>Juni</v>
      </c>
      <c r="M26" s="23">
        <f t="shared" si="6"/>
        <v>7104.4359999999997</v>
      </c>
      <c r="N26">
        <f t="shared" si="5"/>
        <v>6</v>
      </c>
      <c r="P26" t="s">
        <v>77</v>
      </c>
      <c r="Q26" t="s">
        <v>42</v>
      </c>
    </row>
    <row r="27" spans="1:17" ht="15" customHeight="1" x14ac:dyDescent="0.25">
      <c r="A27" s="17">
        <f t="shared" si="0"/>
        <v>19</v>
      </c>
      <c r="B27" s="18">
        <v>46191</v>
      </c>
      <c r="C27" s="17" t="s">
        <v>78</v>
      </c>
      <c r="D27" s="19" t="s">
        <v>79</v>
      </c>
      <c r="E27" s="19" t="s">
        <v>28</v>
      </c>
      <c r="F27" s="20" t="str">
        <f t="shared" si="1"/>
        <v>Einnahme</v>
      </c>
      <c r="G27" s="17" t="s">
        <v>38</v>
      </c>
      <c r="H27" s="21">
        <v>1220</v>
      </c>
      <c r="I27" s="22">
        <v>0.19</v>
      </c>
      <c r="J27" s="23">
        <f t="shared" si="2"/>
        <v>231.8</v>
      </c>
      <c r="K27" s="23">
        <f t="shared" si="3"/>
        <v>1451.8</v>
      </c>
      <c r="L27" s="20" t="str">
        <f t="shared" si="4"/>
        <v>Juni</v>
      </c>
      <c r="M27" s="23">
        <f t="shared" si="6"/>
        <v>8556.235999999999</v>
      </c>
      <c r="N27">
        <f t="shared" si="5"/>
        <v>6</v>
      </c>
      <c r="P27" t="s">
        <v>80</v>
      </c>
      <c r="Q27" t="s">
        <v>42</v>
      </c>
    </row>
    <row r="28" spans="1:17" ht="15" customHeight="1" x14ac:dyDescent="0.25">
      <c r="A28" s="24">
        <f t="shared" si="0"/>
        <v>20</v>
      </c>
      <c r="B28" s="25">
        <v>46203</v>
      </c>
      <c r="C28" s="24" t="s">
        <v>81</v>
      </c>
      <c r="D28" s="26" t="s">
        <v>82</v>
      </c>
      <c r="E28" s="26" t="s">
        <v>37</v>
      </c>
      <c r="F28" s="20" t="str">
        <f t="shared" si="1"/>
        <v>Einnahme</v>
      </c>
      <c r="G28" s="24" t="s">
        <v>24</v>
      </c>
      <c r="H28" s="27">
        <v>48.5</v>
      </c>
      <c r="I28" s="28">
        <v>0</v>
      </c>
      <c r="J28" s="23">
        <f t="shared" si="2"/>
        <v>0</v>
      </c>
      <c r="K28" s="23">
        <f t="shared" si="3"/>
        <v>48.5</v>
      </c>
      <c r="L28" s="20" t="str">
        <f t="shared" si="4"/>
        <v>Juni</v>
      </c>
      <c r="M28" s="23">
        <f t="shared" si="6"/>
        <v>8604.735999999999</v>
      </c>
      <c r="N28">
        <f t="shared" si="5"/>
        <v>6</v>
      </c>
    </row>
    <row r="29" spans="1:17" ht="15" customHeight="1" x14ac:dyDescent="0.25">
      <c r="A29" s="17">
        <f t="shared" si="0"/>
        <v>21</v>
      </c>
      <c r="B29" s="18">
        <v>46209</v>
      </c>
      <c r="C29" s="17" t="s">
        <v>83</v>
      </c>
      <c r="D29" s="19" t="s">
        <v>84</v>
      </c>
      <c r="E29" s="19" t="s">
        <v>20</v>
      </c>
      <c r="F29" s="20" t="str">
        <f t="shared" si="1"/>
        <v>Ausgabe</v>
      </c>
      <c r="G29" s="17" t="s">
        <v>21</v>
      </c>
      <c r="H29" s="21">
        <v>2550</v>
      </c>
      <c r="I29" s="22">
        <v>0</v>
      </c>
      <c r="J29" s="23">
        <f t="shared" si="2"/>
        <v>0</v>
      </c>
      <c r="K29" s="23">
        <f t="shared" si="3"/>
        <v>2550</v>
      </c>
      <c r="L29" s="20" t="str">
        <f t="shared" si="4"/>
        <v>Juli</v>
      </c>
      <c r="M29" s="23">
        <f t="shared" si="6"/>
        <v>6054.735999999999</v>
      </c>
      <c r="N29">
        <f t="shared" si="5"/>
        <v>7</v>
      </c>
    </row>
    <row r="30" spans="1:17" ht="15" customHeight="1" x14ac:dyDescent="0.25">
      <c r="A30" s="24">
        <f t="shared" si="0"/>
        <v>22</v>
      </c>
      <c r="B30" s="25">
        <v>46218</v>
      </c>
      <c r="C30" s="24" t="s">
        <v>85</v>
      </c>
      <c r="D30" s="26" t="s">
        <v>86</v>
      </c>
      <c r="E30" s="26" t="s">
        <v>80</v>
      </c>
      <c r="F30" s="20" t="str">
        <f t="shared" si="1"/>
        <v>Ausgabe</v>
      </c>
      <c r="G30" s="24" t="s">
        <v>33</v>
      </c>
      <c r="H30" s="27">
        <v>240</v>
      </c>
      <c r="I30" s="28">
        <v>0.19</v>
      </c>
      <c r="J30" s="23">
        <f t="shared" si="2"/>
        <v>45.6</v>
      </c>
      <c r="K30" s="23">
        <f t="shared" si="3"/>
        <v>285.60000000000002</v>
      </c>
      <c r="L30" s="20" t="str">
        <f t="shared" si="4"/>
        <v>Juli</v>
      </c>
      <c r="M30" s="23">
        <f t="shared" si="6"/>
        <v>5769.1359999999986</v>
      </c>
      <c r="N30">
        <f t="shared" si="5"/>
        <v>7</v>
      </c>
    </row>
    <row r="31" spans="1:17" ht="15" customHeight="1" x14ac:dyDescent="0.25">
      <c r="A31" s="17">
        <f t="shared" si="0"/>
        <v>23</v>
      </c>
      <c r="B31" s="18">
        <v>46225</v>
      </c>
      <c r="C31" s="17" t="s">
        <v>87</v>
      </c>
      <c r="D31" s="19" t="s">
        <v>88</v>
      </c>
      <c r="E31" s="19" t="s">
        <v>22</v>
      </c>
      <c r="F31" s="20" t="str">
        <f t="shared" si="1"/>
        <v>Einnahme</v>
      </c>
      <c r="G31" s="17" t="s">
        <v>24</v>
      </c>
      <c r="H31" s="21">
        <v>3600</v>
      </c>
      <c r="I31" s="22">
        <v>0.19</v>
      </c>
      <c r="J31" s="23">
        <f t="shared" si="2"/>
        <v>684</v>
      </c>
      <c r="K31" s="23">
        <f t="shared" si="3"/>
        <v>4284</v>
      </c>
      <c r="L31" s="20" t="str">
        <f t="shared" si="4"/>
        <v>Juli</v>
      </c>
      <c r="M31" s="23">
        <f t="shared" si="6"/>
        <v>10053.135999999999</v>
      </c>
      <c r="N31">
        <f t="shared" si="5"/>
        <v>7</v>
      </c>
    </row>
    <row r="32" spans="1:17" ht="15" customHeight="1" x14ac:dyDescent="0.25">
      <c r="A32" s="24">
        <f t="shared" si="0"/>
        <v>24</v>
      </c>
      <c r="B32" s="25">
        <v>46248</v>
      </c>
      <c r="C32" s="24" t="s">
        <v>89</v>
      </c>
      <c r="D32" s="26" t="s">
        <v>90</v>
      </c>
      <c r="E32" s="26" t="s">
        <v>32</v>
      </c>
      <c r="F32" s="20" t="str">
        <f t="shared" si="1"/>
        <v>Einnahme</v>
      </c>
      <c r="G32" s="24" t="s">
        <v>24</v>
      </c>
      <c r="H32" s="27">
        <v>700</v>
      </c>
      <c r="I32" s="28">
        <v>0.19</v>
      </c>
      <c r="J32" s="23">
        <f t="shared" si="2"/>
        <v>133</v>
      </c>
      <c r="K32" s="23">
        <f t="shared" si="3"/>
        <v>833</v>
      </c>
      <c r="L32" s="20" t="str">
        <f t="shared" si="4"/>
        <v>August</v>
      </c>
      <c r="M32" s="23">
        <f t="shared" si="6"/>
        <v>10886.135999999999</v>
      </c>
      <c r="N32">
        <f t="shared" si="5"/>
        <v>8</v>
      </c>
    </row>
    <row r="33" spans="1:14" ht="15" customHeight="1" x14ac:dyDescent="0.25">
      <c r="A33" s="17">
        <f t="shared" si="0"/>
        <v>25</v>
      </c>
      <c r="B33" s="18">
        <v>46274</v>
      </c>
      <c r="C33" s="17" t="s">
        <v>91</v>
      </c>
      <c r="D33" s="19" t="s">
        <v>92</v>
      </c>
      <c r="E33" s="19" t="s">
        <v>22</v>
      </c>
      <c r="F33" s="20" t="str">
        <f t="shared" si="1"/>
        <v>Einnahme</v>
      </c>
      <c r="G33" s="17" t="s">
        <v>24</v>
      </c>
      <c r="H33" s="21">
        <v>2950</v>
      </c>
      <c r="I33" s="22">
        <v>0.19</v>
      </c>
      <c r="J33" s="23">
        <f t="shared" si="2"/>
        <v>560.5</v>
      </c>
      <c r="K33" s="23">
        <f t="shared" si="3"/>
        <v>3510.5</v>
      </c>
      <c r="L33" s="20" t="str">
        <f t="shared" si="4"/>
        <v>September</v>
      </c>
      <c r="M33" s="23">
        <f t="shared" si="6"/>
        <v>14396.635999999999</v>
      </c>
      <c r="N33">
        <f t="shared" si="5"/>
        <v>9</v>
      </c>
    </row>
    <row r="34" spans="1:14" ht="15" customHeight="1" x14ac:dyDescent="0.25">
      <c r="A34" s="24">
        <f t="shared" si="0"/>
        <v>26</v>
      </c>
      <c r="B34" s="25">
        <v>46277</v>
      </c>
      <c r="C34" s="24" t="s">
        <v>93</v>
      </c>
      <c r="D34" s="26" t="s">
        <v>94</v>
      </c>
      <c r="E34" s="26" t="s">
        <v>72</v>
      </c>
      <c r="F34" s="20" t="str">
        <f t="shared" si="1"/>
        <v>Ausgabe</v>
      </c>
      <c r="G34" s="24" t="s">
        <v>24</v>
      </c>
      <c r="H34" s="27">
        <v>330</v>
      </c>
      <c r="I34" s="28">
        <v>0</v>
      </c>
      <c r="J34" s="23">
        <f t="shared" si="2"/>
        <v>0</v>
      </c>
      <c r="K34" s="23">
        <f t="shared" si="3"/>
        <v>330</v>
      </c>
      <c r="L34" s="20" t="str">
        <f t="shared" si="4"/>
        <v>September</v>
      </c>
      <c r="M34" s="23">
        <f t="shared" si="6"/>
        <v>14066.635999999999</v>
      </c>
      <c r="N34">
        <f t="shared" si="5"/>
        <v>9</v>
      </c>
    </row>
    <row r="35" spans="1:14" ht="15" customHeight="1" x14ac:dyDescent="0.25">
      <c r="A35" s="17">
        <f t="shared" si="0"/>
        <v>27</v>
      </c>
      <c r="B35" s="18">
        <v>46302</v>
      </c>
      <c r="C35" s="17" t="s">
        <v>95</v>
      </c>
      <c r="D35" s="19" t="s">
        <v>96</v>
      </c>
      <c r="E35" s="19" t="s">
        <v>49</v>
      </c>
      <c r="F35" s="20" t="str">
        <f t="shared" si="1"/>
        <v>Ausgabe</v>
      </c>
      <c r="G35" s="17" t="s">
        <v>24</v>
      </c>
      <c r="H35" s="21">
        <v>1100</v>
      </c>
      <c r="I35" s="22">
        <v>0</v>
      </c>
      <c r="J35" s="23">
        <f t="shared" si="2"/>
        <v>0</v>
      </c>
      <c r="K35" s="23">
        <f t="shared" si="3"/>
        <v>1100</v>
      </c>
      <c r="L35" s="20" t="str">
        <f t="shared" si="4"/>
        <v>Oktober</v>
      </c>
      <c r="M35" s="23">
        <f t="shared" si="6"/>
        <v>12966.635999999999</v>
      </c>
      <c r="N35">
        <f t="shared" si="5"/>
        <v>10</v>
      </c>
    </row>
    <row r="36" spans="1:14" ht="15" customHeight="1" x14ac:dyDescent="0.25">
      <c r="A36" s="24">
        <f t="shared" si="0"/>
        <v>28</v>
      </c>
      <c r="B36" s="25">
        <v>46315</v>
      </c>
      <c r="C36" s="24" t="s">
        <v>97</v>
      </c>
      <c r="D36" s="26" t="s">
        <v>64</v>
      </c>
      <c r="E36" s="26" t="s">
        <v>27</v>
      </c>
      <c r="F36" s="20" t="str">
        <f t="shared" si="1"/>
        <v>Ausgabe</v>
      </c>
      <c r="G36" s="24" t="s">
        <v>24</v>
      </c>
      <c r="H36" s="27">
        <v>990</v>
      </c>
      <c r="I36" s="28">
        <v>0.19</v>
      </c>
      <c r="J36" s="23">
        <f t="shared" si="2"/>
        <v>188.1</v>
      </c>
      <c r="K36" s="23">
        <f t="shared" si="3"/>
        <v>1178.0999999999999</v>
      </c>
      <c r="L36" s="20" t="str">
        <f t="shared" si="4"/>
        <v>Oktober</v>
      </c>
      <c r="M36" s="23">
        <f t="shared" si="6"/>
        <v>11788.535999999998</v>
      </c>
      <c r="N36">
        <f t="shared" si="5"/>
        <v>10</v>
      </c>
    </row>
    <row r="37" spans="1:14" ht="15" customHeight="1" x14ac:dyDescent="0.25">
      <c r="A37" s="17">
        <f t="shared" si="0"/>
        <v>29</v>
      </c>
      <c r="B37" s="18">
        <v>46337</v>
      </c>
      <c r="C37" s="17" t="s">
        <v>98</v>
      </c>
      <c r="D37" s="19" t="s">
        <v>99</v>
      </c>
      <c r="E37" s="19" t="s">
        <v>22</v>
      </c>
      <c r="F37" s="20" t="str">
        <f t="shared" si="1"/>
        <v>Einnahme</v>
      </c>
      <c r="G37" s="17" t="s">
        <v>24</v>
      </c>
      <c r="H37" s="21">
        <v>3850</v>
      </c>
      <c r="I37" s="22">
        <v>0.19</v>
      </c>
      <c r="J37" s="23">
        <f t="shared" si="2"/>
        <v>731.5</v>
      </c>
      <c r="K37" s="23">
        <f t="shared" si="3"/>
        <v>4581.5</v>
      </c>
      <c r="L37" s="20" t="str">
        <f t="shared" si="4"/>
        <v>November</v>
      </c>
      <c r="M37" s="23">
        <f t="shared" si="6"/>
        <v>16370.035999999998</v>
      </c>
      <c r="N37">
        <f t="shared" si="5"/>
        <v>11</v>
      </c>
    </row>
    <row r="38" spans="1:14" ht="15" customHeight="1" x14ac:dyDescent="0.25">
      <c r="A38" s="24">
        <f t="shared" si="0"/>
        <v>30</v>
      </c>
      <c r="B38" s="25">
        <v>46364</v>
      </c>
      <c r="C38" s="24" t="s">
        <v>100</v>
      </c>
      <c r="D38" s="26" t="s">
        <v>101</v>
      </c>
      <c r="E38" s="26" t="s">
        <v>28</v>
      </c>
      <c r="F38" s="20" t="str">
        <f t="shared" si="1"/>
        <v>Einnahme</v>
      </c>
      <c r="G38" s="24" t="s">
        <v>38</v>
      </c>
      <c r="H38" s="27">
        <v>1670</v>
      </c>
      <c r="I38" s="28">
        <v>0.19</v>
      </c>
      <c r="J38" s="23">
        <f t="shared" si="2"/>
        <v>317.3</v>
      </c>
      <c r="K38" s="23">
        <f t="shared" si="3"/>
        <v>1987.3</v>
      </c>
      <c r="L38" s="20" t="str">
        <f t="shared" si="4"/>
        <v>Dezember</v>
      </c>
      <c r="M38" s="23">
        <f t="shared" si="6"/>
        <v>18357.335999999999</v>
      </c>
      <c r="N38">
        <f t="shared" si="5"/>
        <v>12</v>
      </c>
    </row>
    <row r="39" spans="1:14" ht="15" customHeight="1" x14ac:dyDescent="0.25">
      <c r="A39" s="17">
        <f t="shared" si="0"/>
        <v>31</v>
      </c>
      <c r="B39" s="18">
        <v>46368</v>
      </c>
      <c r="C39" s="17" t="s">
        <v>102</v>
      </c>
      <c r="D39" s="19" t="s">
        <v>103</v>
      </c>
      <c r="E39" s="19" t="s">
        <v>77</v>
      </c>
      <c r="F39" s="20" t="str">
        <f t="shared" si="1"/>
        <v>Ausgabe</v>
      </c>
      <c r="G39" s="17" t="s">
        <v>24</v>
      </c>
      <c r="H39" s="21">
        <v>690</v>
      </c>
      <c r="I39" s="22">
        <v>0.19</v>
      </c>
      <c r="J39" s="23">
        <f t="shared" si="2"/>
        <v>131.1</v>
      </c>
      <c r="K39" s="23">
        <f t="shared" si="3"/>
        <v>821.1</v>
      </c>
      <c r="L39" s="20" t="str">
        <f t="shared" si="4"/>
        <v>Dezember</v>
      </c>
      <c r="M39" s="23">
        <f t="shared" si="6"/>
        <v>17536.236000000001</v>
      </c>
      <c r="N39">
        <f t="shared" si="5"/>
        <v>12</v>
      </c>
    </row>
    <row r="40" spans="1:14" ht="15" customHeight="1" x14ac:dyDescent="0.25">
      <c r="A40" s="24">
        <f t="shared" si="0"/>
        <v>32</v>
      </c>
      <c r="B40" s="25">
        <v>46375</v>
      </c>
      <c r="C40" s="24" t="s">
        <v>104</v>
      </c>
      <c r="D40" s="26" t="s">
        <v>44</v>
      </c>
      <c r="E40" s="26" t="s">
        <v>45</v>
      </c>
      <c r="F40" s="20" t="str">
        <f t="shared" si="1"/>
        <v>Ausgabe</v>
      </c>
      <c r="G40" s="24" t="s">
        <v>33</v>
      </c>
      <c r="H40" s="27">
        <v>90.2</v>
      </c>
      <c r="I40" s="28">
        <v>0.19</v>
      </c>
      <c r="J40" s="23">
        <f t="shared" si="2"/>
        <v>17.138000000000002</v>
      </c>
      <c r="K40" s="23">
        <f t="shared" si="3"/>
        <v>107.33800000000001</v>
      </c>
      <c r="L40" s="20" t="str">
        <f t="shared" si="4"/>
        <v>Dezember</v>
      </c>
      <c r="M40" s="23">
        <f t="shared" si="6"/>
        <v>17428.898000000001</v>
      </c>
      <c r="N40">
        <f t="shared" si="5"/>
        <v>12</v>
      </c>
    </row>
    <row r="41" spans="1:14" ht="15" customHeight="1" x14ac:dyDescent="0.25">
      <c r="A41" s="17" t="str">
        <f t="shared" si="0"/>
        <v/>
      </c>
      <c r="B41" s="18"/>
      <c r="C41" s="17"/>
      <c r="D41" s="19"/>
      <c r="E41" s="19"/>
      <c r="F41" s="20" t="str">
        <f t="shared" si="1"/>
        <v/>
      </c>
      <c r="G41" s="17"/>
      <c r="H41" s="21"/>
      <c r="I41" s="22"/>
      <c r="J41" s="23" t="str">
        <f t="shared" si="2"/>
        <v/>
      </c>
      <c r="K41" s="23" t="str">
        <f t="shared" si="3"/>
        <v/>
      </c>
      <c r="L41" s="20" t="str">
        <f t="shared" si="4"/>
        <v/>
      </c>
      <c r="M41" s="23" t="str">
        <f t="shared" si="6"/>
        <v/>
      </c>
      <c r="N41" t="str">
        <f t="shared" si="5"/>
        <v/>
      </c>
    </row>
    <row r="42" spans="1:14" ht="15" customHeight="1" x14ac:dyDescent="0.25">
      <c r="A42" s="24" t="str">
        <f t="shared" si="0"/>
        <v/>
      </c>
      <c r="B42" s="25"/>
      <c r="C42" s="24"/>
      <c r="D42" s="26"/>
      <c r="E42" s="26"/>
      <c r="F42" s="20" t="str">
        <f t="shared" si="1"/>
        <v/>
      </c>
      <c r="G42" s="24"/>
      <c r="H42" s="27"/>
      <c r="I42" s="28"/>
      <c r="J42" s="23" t="str">
        <f t="shared" si="2"/>
        <v/>
      </c>
      <c r="K42" s="23" t="str">
        <f t="shared" si="3"/>
        <v/>
      </c>
      <c r="L42" s="20" t="str">
        <f t="shared" si="4"/>
        <v/>
      </c>
      <c r="M42" s="23" t="str">
        <f t="shared" si="6"/>
        <v/>
      </c>
      <c r="N42" t="str">
        <f t="shared" si="5"/>
        <v/>
      </c>
    </row>
    <row r="43" spans="1:14" ht="19.5" customHeight="1" x14ac:dyDescent="0.25">
      <c r="A43" s="43" t="s">
        <v>105</v>
      </c>
      <c r="B43" s="43"/>
      <c r="C43" s="43"/>
      <c r="D43" s="43"/>
      <c r="E43" s="43"/>
      <c r="F43" s="43"/>
      <c r="G43" s="43"/>
      <c r="H43" s="29">
        <f>SUM(H9:H42)</f>
        <v>40233.199999999997</v>
      </c>
      <c r="I43" s="30"/>
      <c r="J43" s="29">
        <f>SUM(J9:J42)</f>
        <v>6314.1020000000008</v>
      </c>
      <c r="K43" s="29">
        <f>SUM(K9:K42)</f>
        <v>46547.301999999996</v>
      </c>
      <c r="L43" s="30"/>
      <c r="M43" s="30"/>
    </row>
  </sheetData>
  <autoFilter ref="A8:M8" xr:uid="{00000000-0009-0000-0000-000000000000}"/>
  <mergeCells count="6">
    <mergeCell ref="A43:G43"/>
    <mergeCell ref="A1:M2"/>
    <mergeCell ref="A4:H4"/>
    <mergeCell ref="I4:M4"/>
    <mergeCell ref="A6:B6"/>
    <mergeCell ref="E6:M6"/>
  </mergeCells>
  <conditionalFormatting sqref="F9:F42">
    <cfRule type="expression" dxfId="4" priority="2">
      <formula>$F9="Einnahme"</formula>
    </cfRule>
    <cfRule type="expression" dxfId="3" priority="3">
      <formula>$F9="Ausgabe"</formula>
    </cfRule>
  </conditionalFormatting>
  <conditionalFormatting sqref="M9:M42">
    <cfRule type="cellIs" dxfId="2" priority="4" operator="lessThan">
      <formula>0</formula>
    </cfRule>
  </conditionalFormatting>
  <dataValidations count="3">
    <dataValidation type="list" allowBlank="1" sqref="E9:E42" xr:uid="{00000000-0002-0000-0000-000000000000}">
      <formula1>$P$9:$P$27</formula1>
      <formula2>0</formula2>
    </dataValidation>
    <dataValidation type="list" allowBlank="1" sqref="G9:G42" xr:uid="{00000000-0002-0000-0000-000001000000}">
      <formula1>$R$9:$R$13</formula1>
      <formula2>0</formula2>
    </dataValidation>
    <dataValidation type="list" allowBlank="1" sqref="I9:I42" xr:uid="{00000000-0002-0000-0000-000002000000}">
      <formula1>$S$9:$S$11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showGridLines="0" tabSelected="1" topLeftCell="A2" zoomScaleNormal="100" workbookViewId="0">
      <selection activeCell="M52" sqref="M52"/>
    </sheetView>
  </sheetViews>
  <sheetFormatPr baseColWidth="10" defaultColWidth="8.7109375" defaultRowHeight="15" x14ac:dyDescent="0.25"/>
  <cols>
    <col min="1" max="1" width="16" customWidth="1"/>
    <col min="2" max="5" width="15" customWidth="1"/>
    <col min="6" max="6" width="3" customWidth="1"/>
    <col min="7" max="10" width="15" customWidth="1"/>
    <col min="12" max="12" width="5" hidden="1" customWidth="1"/>
  </cols>
  <sheetData>
    <row r="1" spans="1:13" ht="30" customHeight="1" x14ac:dyDescent="0.25">
      <c r="A1" s="13" t="s">
        <v>154</v>
      </c>
      <c r="B1" s="13"/>
      <c r="C1" s="13"/>
      <c r="D1" s="13"/>
      <c r="E1" s="13"/>
      <c r="F1" s="13"/>
      <c r="G1" s="48" t="s">
        <v>106</v>
      </c>
      <c r="H1" s="48"/>
      <c r="I1" s="48"/>
      <c r="J1" s="48"/>
      <c r="K1" s="48"/>
      <c r="L1" s="48"/>
      <c r="M1" s="48"/>
    </row>
    <row r="2" spans="1:13" ht="19.5" customHeight="1" x14ac:dyDescent="0.25">
      <c r="A2" s="13"/>
      <c r="B2" s="13"/>
      <c r="C2" s="13"/>
      <c r="D2" s="13"/>
      <c r="E2" s="13"/>
      <c r="F2" s="13"/>
      <c r="G2" s="48"/>
      <c r="H2" s="48"/>
      <c r="I2" s="48"/>
      <c r="J2" s="48"/>
      <c r="K2" s="48"/>
      <c r="L2" s="48"/>
      <c r="M2" s="48"/>
    </row>
    <row r="3" spans="1:13" ht="3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5" spans="1:13" ht="15.75" customHeight="1" x14ac:dyDescent="0.25">
      <c r="A5" s="12" t="s">
        <v>107</v>
      </c>
      <c r="B5" s="12"/>
      <c r="C5" s="12" t="s">
        <v>108</v>
      </c>
      <c r="D5" s="12"/>
      <c r="E5" s="12" t="s">
        <v>109</v>
      </c>
      <c r="F5" s="12"/>
      <c r="G5" s="12" t="s">
        <v>110</v>
      </c>
      <c r="H5" s="12"/>
      <c r="I5" s="12" t="s">
        <v>111</v>
      </c>
      <c r="J5" s="12"/>
    </row>
    <row r="6" spans="1:13" ht="15.75" customHeight="1" x14ac:dyDescent="0.25">
      <c r="A6" s="11">
        <f>SUMIFS(Buchungen!$H$9:$H$42,Buchungen!$F$9:$F$42,"Einnahme")</f>
        <v>26888.5</v>
      </c>
      <c r="B6" s="11"/>
      <c r="C6" s="11">
        <f>SUMIFS(Buchungen!$H$9:$H$42,Buchungen!$F$9:$F$42,"Ausgabe")</f>
        <v>13344.7</v>
      </c>
      <c r="D6" s="11"/>
      <c r="E6" s="10">
        <f>SUMIFS(Buchungen!$H$9:$H$42,Buchungen!$F$9:$F$42,"Einnahme")-SUMIFS(Buchungen!$H$9:$H$42,Buchungen!$F$9:$F$42,"Ausgabe")</f>
        <v>13543.8</v>
      </c>
      <c r="F6" s="10"/>
      <c r="G6" s="11">
        <f>SUMIFS(Buchungen!$J$9:$J$42,Buchungen!$F$9:$F$42,"Einnahme")-SUMIFS(Buchungen!$J$9:$J$42,Buchungen!$F$9:$F$42,"Ausgabe")</f>
        <v>3885.0980000000009</v>
      </c>
      <c r="H6" s="11"/>
      <c r="I6" s="9">
        <f>COUNT(Buchungen!$H$9:$H$42)</f>
        <v>32</v>
      </c>
      <c r="J6" s="9"/>
    </row>
    <row r="7" spans="1:13" ht="13.5" customHeight="1" x14ac:dyDescent="0.25">
      <c r="A7" s="11"/>
      <c r="B7" s="11"/>
      <c r="C7" s="11"/>
      <c r="D7" s="11"/>
      <c r="E7" s="10"/>
      <c r="F7" s="10"/>
      <c r="G7" s="11"/>
      <c r="H7" s="11"/>
      <c r="I7" s="9"/>
      <c r="J7" s="9"/>
    </row>
    <row r="9" spans="1:13" ht="19.5" customHeight="1" x14ac:dyDescent="0.25">
      <c r="A9" s="8" t="s">
        <v>112</v>
      </c>
      <c r="B9" s="8"/>
      <c r="C9" s="8"/>
      <c r="D9" s="8"/>
      <c r="E9" s="8"/>
    </row>
    <row r="10" spans="1:13" ht="24" customHeight="1" x14ac:dyDescent="0.25">
      <c r="A10" s="31" t="s">
        <v>16</v>
      </c>
      <c r="B10" s="31" t="s">
        <v>113</v>
      </c>
      <c r="C10" s="31" t="s">
        <v>114</v>
      </c>
      <c r="D10" s="31" t="s">
        <v>115</v>
      </c>
      <c r="E10" s="31" t="s">
        <v>116</v>
      </c>
    </row>
    <row r="11" spans="1:13" ht="13.5" customHeight="1" x14ac:dyDescent="0.25">
      <c r="A11" s="19" t="s">
        <v>117</v>
      </c>
      <c r="B11" s="21">
        <f>SUMIFS(Buchungen!$H$9:$H$42,Buchungen!$N$9:$N$42,$L11,Buchungen!$F$9:$F$42,"Einnahme")</f>
        <v>3200</v>
      </c>
      <c r="C11" s="21">
        <f>SUMIFS(Buchungen!$H$9:$H$42,Buchungen!$N$9:$N$42,$L11,Buchungen!$F$9:$F$42,"Ausgabe")</f>
        <v>4094.8</v>
      </c>
      <c r="D11" s="21">
        <f t="shared" ref="D11:D22" si="0">B11-C11</f>
        <v>-894.80000000000018</v>
      </c>
      <c r="E11" s="21">
        <f>D11</f>
        <v>-894.80000000000018</v>
      </c>
      <c r="L11">
        <v>1</v>
      </c>
    </row>
    <row r="12" spans="1:13" ht="13.5" customHeight="1" x14ac:dyDescent="0.25">
      <c r="A12" s="26" t="s">
        <v>118</v>
      </c>
      <c r="B12" s="27">
        <f>SUMIFS(Buchungen!$H$9:$H$42,Buchungen!$N$9:$N$42,$L12,Buchungen!$F$9:$F$42,"Einnahme")</f>
        <v>2750</v>
      </c>
      <c r="C12" s="27">
        <f>SUMIFS(Buchungen!$H$9:$H$42,Buchungen!$N$9:$N$42,$L12,Buchungen!$F$9:$F$42,"Ausgabe")</f>
        <v>392.4</v>
      </c>
      <c r="D12" s="27">
        <f t="shared" si="0"/>
        <v>2357.6</v>
      </c>
      <c r="E12" s="27">
        <f t="shared" ref="E12:E22" si="1">E11+D12</f>
        <v>1462.7999999999997</v>
      </c>
      <c r="L12">
        <v>2</v>
      </c>
    </row>
    <row r="13" spans="1:13" ht="13.5" customHeight="1" x14ac:dyDescent="0.25">
      <c r="A13" s="19" t="s">
        <v>119</v>
      </c>
      <c r="B13" s="21">
        <f>SUMIFS(Buchungen!$H$9:$H$42,Buchungen!$N$9:$N$42,$L13,Buchungen!$F$9:$F$42,"Einnahme")</f>
        <v>1840</v>
      </c>
      <c r="C13" s="21">
        <f>SUMIFS(Buchungen!$H$9:$H$42,Buchungen!$N$9:$N$42,$L13,Buchungen!$F$9:$F$42,"Ausgabe")</f>
        <v>274.3</v>
      </c>
      <c r="D13" s="21">
        <f t="shared" si="0"/>
        <v>1565.7</v>
      </c>
      <c r="E13" s="21">
        <f t="shared" si="1"/>
        <v>3028.5</v>
      </c>
      <c r="L13">
        <v>3</v>
      </c>
    </row>
    <row r="14" spans="1:13" ht="13.5" customHeight="1" x14ac:dyDescent="0.25">
      <c r="A14" s="26" t="s">
        <v>120</v>
      </c>
      <c r="B14" s="27">
        <f>SUMIFS(Buchungen!$H$9:$H$42,Buchungen!$N$9:$N$42,$L14,Buchungen!$F$9:$F$42,"Einnahme")</f>
        <v>960</v>
      </c>
      <c r="C14" s="27">
        <f>SUMIFS(Buchungen!$H$9:$H$42,Buchungen!$N$9:$N$42,$L14,Buchungen!$F$9:$F$42,"Ausgabe")</f>
        <v>1325</v>
      </c>
      <c r="D14" s="27">
        <f t="shared" si="0"/>
        <v>-365</v>
      </c>
      <c r="E14" s="27">
        <f t="shared" si="1"/>
        <v>2663.5</v>
      </c>
      <c r="L14">
        <v>4</v>
      </c>
    </row>
    <row r="15" spans="1:13" ht="13.5" customHeight="1" x14ac:dyDescent="0.25">
      <c r="A15" s="19" t="s">
        <v>121</v>
      </c>
      <c r="B15" s="21">
        <f>SUMIFS(Buchungen!$H$9:$H$42,Buchungen!$N$9:$N$42,$L15,Buchungen!$F$9:$F$42,"Einnahme")</f>
        <v>4100</v>
      </c>
      <c r="C15" s="21">
        <f>SUMIFS(Buchungen!$H$9:$H$42,Buchungen!$N$9:$N$42,$L15,Buchungen!$F$9:$F$42,"Ausgabe")</f>
        <v>788</v>
      </c>
      <c r="D15" s="21">
        <f t="shared" si="0"/>
        <v>3312</v>
      </c>
      <c r="E15" s="21">
        <f t="shared" si="1"/>
        <v>5975.5</v>
      </c>
      <c r="L15">
        <v>5</v>
      </c>
    </row>
    <row r="16" spans="1:13" ht="13.5" customHeight="1" x14ac:dyDescent="0.25">
      <c r="A16" s="26" t="s">
        <v>122</v>
      </c>
      <c r="B16" s="27">
        <f>SUMIFS(Buchungen!$H$9:$H$42,Buchungen!$N$9:$N$42,$L16,Buchungen!$F$9:$F$42,"Einnahme")</f>
        <v>1268.5</v>
      </c>
      <c r="C16" s="27">
        <f>SUMIFS(Buchungen!$H$9:$H$42,Buchungen!$N$9:$N$42,$L16,Buchungen!$F$9:$F$42,"Ausgabe")</f>
        <v>480</v>
      </c>
      <c r="D16" s="27">
        <f t="shared" si="0"/>
        <v>788.5</v>
      </c>
      <c r="E16" s="27">
        <f t="shared" si="1"/>
        <v>6764</v>
      </c>
      <c r="L16">
        <v>6</v>
      </c>
    </row>
    <row r="17" spans="1:12" ht="13.5" customHeight="1" x14ac:dyDescent="0.25">
      <c r="A17" s="19" t="s">
        <v>123</v>
      </c>
      <c r="B17" s="21">
        <f>SUMIFS(Buchungen!$H$9:$H$42,Buchungen!$N$9:$N$42,$L17,Buchungen!$F$9:$F$42,"Einnahme")</f>
        <v>3600</v>
      </c>
      <c r="C17" s="21">
        <f>SUMIFS(Buchungen!$H$9:$H$42,Buchungen!$N$9:$N$42,$L17,Buchungen!$F$9:$F$42,"Ausgabe")</f>
        <v>2790</v>
      </c>
      <c r="D17" s="21">
        <f t="shared" si="0"/>
        <v>810</v>
      </c>
      <c r="E17" s="21">
        <f t="shared" si="1"/>
        <v>7574</v>
      </c>
      <c r="L17">
        <v>7</v>
      </c>
    </row>
    <row r="18" spans="1:12" ht="13.5" customHeight="1" x14ac:dyDescent="0.25">
      <c r="A18" s="26" t="s">
        <v>124</v>
      </c>
      <c r="B18" s="27">
        <f>SUMIFS(Buchungen!$H$9:$H$42,Buchungen!$N$9:$N$42,$L18,Buchungen!$F$9:$F$42,"Einnahme")</f>
        <v>700</v>
      </c>
      <c r="C18" s="27">
        <f>SUMIFS(Buchungen!$H$9:$H$42,Buchungen!$N$9:$N$42,$L18,Buchungen!$F$9:$F$42,"Ausgabe")</f>
        <v>0</v>
      </c>
      <c r="D18" s="27">
        <f t="shared" si="0"/>
        <v>700</v>
      </c>
      <c r="E18" s="27">
        <f t="shared" si="1"/>
        <v>8274</v>
      </c>
      <c r="L18">
        <v>8</v>
      </c>
    </row>
    <row r="19" spans="1:12" ht="13.5" customHeight="1" x14ac:dyDescent="0.25">
      <c r="A19" s="19" t="s">
        <v>125</v>
      </c>
      <c r="B19" s="21">
        <f>SUMIFS(Buchungen!$H$9:$H$42,Buchungen!$N$9:$N$42,$L19,Buchungen!$F$9:$F$42,"Einnahme")</f>
        <v>2950</v>
      </c>
      <c r="C19" s="21">
        <f>SUMIFS(Buchungen!$H$9:$H$42,Buchungen!$N$9:$N$42,$L19,Buchungen!$F$9:$F$42,"Ausgabe")</f>
        <v>330</v>
      </c>
      <c r="D19" s="21">
        <f t="shared" si="0"/>
        <v>2620</v>
      </c>
      <c r="E19" s="21">
        <f t="shared" si="1"/>
        <v>10894</v>
      </c>
      <c r="L19">
        <v>9</v>
      </c>
    </row>
    <row r="20" spans="1:12" ht="13.5" customHeight="1" x14ac:dyDescent="0.25">
      <c r="A20" s="26" t="s">
        <v>126</v>
      </c>
      <c r="B20" s="27">
        <f>SUMIFS(Buchungen!$H$9:$H$42,Buchungen!$N$9:$N$42,$L20,Buchungen!$F$9:$F$42,"Einnahme")</f>
        <v>0</v>
      </c>
      <c r="C20" s="27">
        <f>SUMIFS(Buchungen!$H$9:$H$42,Buchungen!$N$9:$N$42,$L20,Buchungen!$F$9:$F$42,"Ausgabe")</f>
        <v>2090</v>
      </c>
      <c r="D20" s="27">
        <f t="shared" si="0"/>
        <v>-2090</v>
      </c>
      <c r="E20" s="27">
        <f t="shared" si="1"/>
        <v>8804</v>
      </c>
      <c r="L20">
        <v>10</v>
      </c>
    </row>
    <row r="21" spans="1:12" ht="13.5" customHeight="1" x14ac:dyDescent="0.25">
      <c r="A21" s="19" t="s">
        <v>127</v>
      </c>
      <c r="B21" s="21">
        <f>SUMIFS(Buchungen!$H$9:$H$42,Buchungen!$N$9:$N$42,$L21,Buchungen!$F$9:$F$42,"Einnahme")</f>
        <v>3850</v>
      </c>
      <c r="C21" s="21">
        <f>SUMIFS(Buchungen!$H$9:$H$42,Buchungen!$N$9:$N$42,$L21,Buchungen!$F$9:$F$42,"Ausgabe")</f>
        <v>0</v>
      </c>
      <c r="D21" s="21">
        <f t="shared" si="0"/>
        <v>3850</v>
      </c>
      <c r="E21" s="21">
        <f t="shared" si="1"/>
        <v>12654</v>
      </c>
      <c r="L21">
        <v>11</v>
      </c>
    </row>
    <row r="22" spans="1:12" ht="13.5" customHeight="1" x14ac:dyDescent="0.25">
      <c r="A22" s="26" t="s">
        <v>128</v>
      </c>
      <c r="B22" s="27">
        <f>SUMIFS(Buchungen!$H$9:$H$42,Buchungen!$N$9:$N$42,$L22,Buchungen!$F$9:$F$42,"Einnahme")</f>
        <v>1670</v>
      </c>
      <c r="C22" s="27">
        <f>SUMIFS(Buchungen!$H$9:$H$42,Buchungen!$N$9:$N$42,$L22,Buchungen!$F$9:$F$42,"Ausgabe")</f>
        <v>780.2</v>
      </c>
      <c r="D22" s="27">
        <f t="shared" si="0"/>
        <v>889.8</v>
      </c>
      <c r="E22" s="27">
        <f t="shared" si="1"/>
        <v>13543.8</v>
      </c>
      <c r="L22">
        <v>12</v>
      </c>
    </row>
    <row r="23" spans="1:12" ht="18" customHeight="1" x14ac:dyDescent="0.25">
      <c r="A23" s="32" t="s">
        <v>129</v>
      </c>
      <c r="B23" s="29">
        <f>SUM(B11:B22)</f>
        <v>26888.5</v>
      </c>
      <c r="C23" s="29">
        <f>SUM(C11:C22)</f>
        <v>13344.7</v>
      </c>
      <c r="D23" s="29">
        <f>SUM(D11:D22)</f>
        <v>13543.8</v>
      </c>
      <c r="E23" s="29">
        <f>E22</f>
        <v>13543.8</v>
      </c>
    </row>
    <row r="25" spans="1:12" ht="15" customHeight="1" x14ac:dyDescent="0.25">
      <c r="A25" s="7" t="s">
        <v>130</v>
      </c>
      <c r="B25" s="7"/>
      <c r="C25" s="7"/>
      <c r="D25" s="7"/>
      <c r="E25" s="7"/>
      <c r="G25" s="6" t="s">
        <v>131</v>
      </c>
      <c r="H25" s="6"/>
      <c r="I25" s="6"/>
      <c r="J25" s="6"/>
    </row>
    <row r="26" spans="1:12" ht="13.5" customHeight="1" x14ac:dyDescent="0.25">
      <c r="A26" s="7"/>
      <c r="B26" s="7"/>
      <c r="C26" s="7"/>
      <c r="D26" s="7"/>
      <c r="E26" s="7"/>
      <c r="G26" s="33" t="s">
        <v>132</v>
      </c>
      <c r="H26" s="5" t="s">
        <v>1</v>
      </c>
      <c r="I26" s="5"/>
      <c r="J26" s="5"/>
    </row>
    <row r="27" spans="1:12" ht="13.5" customHeight="1" x14ac:dyDescent="0.25">
      <c r="A27" s="7"/>
      <c r="B27" s="7"/>
      <c r="C27" s="7"/>
      <c r="D27" s="7"/>
      <c r="E27" s="7"/>
      <c r="G27" s="33" t="s">
        <v>133</v>
      </c>
      <c r="H27" s="5" t="s">
        <v>134</v>
      </c>
      <c r="I27" s="5"/>
      <c r="J27" s="5"/>
    </row>
    <row r="28" spans="1:12" ht="13.5" customHeight="1" x14ac:dyDescent="0.25">
      <c r="G28" s="33" t="s">
        <v>135</v>
      </c>
      <c r="H28" s="5" t="s">
        <v>136</v>
      </c>
      <c r="I28" s="5"/>
      <c r="J28" s="5"/>
    </row>
    <row r="29" spans="1:12" ht="13.5" customHeight="1" x14ac:dyDescent="0.25">
      <c r="G29" s="33" t="s">
        <v>137</v>
      </c>
      <c r="H29" s="5" t="s">
        <v>138</v>
      </c>
      <c r="I29" s="5"/>
      <c r="J29" s="5"/>
    </row>
    <row r="30" spans="1:12" ht="13.5" customHeight="1" x14ac:dyDescent="0.25">
      <c r="G30" s="33" t="s">
        <v>139</v>
      </c>
      <c r="H30" s="5" t="s">
        <v>140</v>
      </c>
      <c r="I30" s="5"/>
      <c r="J30" s="5"/>
    </row>
  </sheetData>
  <mergeCells count="20">
    <mergeCell ref="H28:J28"/>
    <mergeCell ref="H29:J29"/>
    <mergeCell ref="H30:J30"/>
    <mergeCell ref="G1:M2"/>
    <mergeCell ref="A9:E9"/>
    <mergeCell ref="A25:E27"/>
    <mergeCell ref="G25:J25"/>
    <mergeCell ref="H26:J26"/>
    <mergeCell ref="H27:J27"/>
    <mergeCell ref="A6:B7"/>
    <mergeCell ref="C6:D7"/>
    <mergeCell ref="E6:F7"/>
    <mergeCell ref="G6:H7"/>
    <mergeCell ref="I6:J7"/>
    <mergeCell ref="A1:F2"/>
    <mergeCell ref="A5:B5"/>
    <mergeCell ref="C5:D5"/>
    <mergeCell ref="E5:F5"/>
    <mergeCell ref="G5:H5"/>
    <mergeCell ref="I5:J5"/>
  </mergeCells>
  <conditionalFormatting sqref="D11:E22">
    <cfRule type="cellIs" dxfId="1" priority="2" operator="lessThan">
      <formula>0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30" customWidth="1"/>
    <col min="2" max="2" width="15" customWidth="1"/>
    <col min="3" max="3" width="14" customWidth="1"/>
    <col min="4" max="4" width="11" customWidth="1"/>
    <col min="5" max="5" width="3" customWidth="1"/>
    <col min="6" max="9" width="15" customWidth="1"/>
  </cols>
  <sheetData>
    <row r="1" spans="1:9" ht="30" customHeight="1" x14ac:dyDescent="0.25">
      <c r="A1" s="4" t="s">
        <v>141</v>
      </c>
      <c r="B1" s="4"/>
      <c r="C1" s="4"/>
      <c r="D1" s="4"/>
      <c r="E1" s="4"/>
      <c r="F1" s="4"/>
      <c r="G1" s="4"/>
      <c r="H1" s="4"/>
      <c r="I1" s="4"/>
    </row>
    <row r="2" spans="1:9" ht="19.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3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5" spans="1:9" ht="19.5" customHeight="1" x14ac:dyDescent="0.25">
      <c r="A5" s="8" t="s">
        <v>142</v>
      </c>
      <c r="B5" s="8"/>
      <c r="C5" s="8"/>
      <c r="D5" s="8"/>
    </row>
    <row r="6" spans="1:9" ht="21.75" customHeight="1" x14ac:dyDescent="0.25">
      <c r="A6" s="31" t="s">
        <v>9</v>
      </c>
      <c r="B6" s="31" t="s">
        <v>12</v>
      </c>
      <c r="C6" s="31" t="s">
        <v>14</v>
      </c>
      <c r="D6" s="31" t="s">
        <v>143</v>
      </c>
    </row>
    <row r="7" spans="1:9" ht="15" customHeight="1" x14ac:dyDescent="0.25">
      <c r="A7" s="19" t="s">
        <v>22</v>
      </c>
      <c r="B7" s="21">
        <f>SUMIFS(Buchungen!$H$9:$H$42,Buchungen!$E$9:$E$42,$A7)</f>
        <v>20450</v>
      </c>
      <c r="C7" s="21">
        <f>SUMIFS(Buchungen!$J$9:$J$42,Buchungen!$E$9:$E$42,$A7)</f>
        <v>3885.5</v>
      </c>
      <c r="D7" s="34">
        <f>IFERROR(B7/$B$11,0)</f>
        <v>0.76054818974654592</v>
      </c>
    </row>
    <row r="8" spans="1:9" ht="15" customHeight="1" x14ac:dyDescent="0.25">
      <c r="A8" s="26" t="s">
        <v>28</v>
      </c>
      <c r="B8" s="27">
        <f>SUMIFS(Buchungen!$H$9:$H$42,Buchungen!$E$9:$E$42,$A8)</f>
        <v>5690</v>
      </c>
      <c r="C8" s="27">
        <f>SUMIFS(Buchungen!$J$9:$J$42,Buchungen!$E$9:$E$42,$A8)</f>
        <v>1081.0999999999999</v>
      </c>
      <c r="D8" s="35">
        <f>IFERROR(B8/$B$11,0)</f>
        <v>0.21161463079011472</v>
      </c>
    </row>
    <row r="9" spans="1:9" ht="15" customHeight="1" x14ac:dyDescent="0.25">
      <c r="A9" s="19" t="s">
        <v>32</v>
      </c>
      <c r="B9" s="21">
        <f>SUMIFS(Buchungen!$H$9:$H$42,Buchungen!$E$9:$E$42,$A9)</f>
        <v>700</v>
      </c>
      <c r="C9" s="21">
        <f>SUMIFS(Buchungen!$J$9:$J$42,Buchungen!$E$9:$E$42,$A9)</f>
        <v>133</v>
      </c>
      <c r="D9" s="34">
        <f>IFERROR(B9/$B$11,0)</f>
        <v>2.6033434367852427E-2</v>
      </c>
    </row>
    <row r="10" spans="1:9" ht="15" customHeight="1" x14ac:dyDescent="0.25">
      <c r="A10" s="26" t="s">
        <v>37</v>
      </c>
      <c r="B10" s="27">
        <f>SUMIFS(Buchungen!$H$9:$H$42,Buchungen!$E$9:$E$42,$A10)</f>
        <v>48.5</v>
      </c>
      <c r="C10" s="27">
        <f>SUMIFS(Buchungen!$J$9:$J$42,Buchungen!$E$9:$E$42,$A10)</f>
        <v>0</v>
      </c>
      <c r="D10" s="35">
        <f>IFERROR(B10/$B$11,0)</f>
        <v>1.8037450954869181E-3</v>
      </c>
    </row>
    <row r="11" spans="1:9" ht="18" customHeight="1" x14ac:dyDescent="0.25">
      <c r="A11" s="32" t="s">
        <v>144</v>
      </c>
      <c r="B11" s="29">
        <f>SUM(B7:B10)</f>
        <v>26888.5</v>
      </c>
      <c r="C11" s="29">
        <f>SUM(C7:C10)</f>
        <v>5099.6000000000004</v>
      </c>
      <c r="D11" s="36">
        <f>IFERROR(B11/B11,1)</f>
        <v>1</v>
      </c>
    </row>
    <row r="13" spans="1:9" ht="19.5" customHeight="1" x14ac:dyDescent="0.25">
      <c r="A13" s="8" t="s">
        <v>145</v>
      </c>
      <c r="B13" s="8"/>
      <c r="C13" s="8"/>
      <c r="D13" s="8"/>
    </row>
    <row r="14" spans="1:9" ht="21.75" customHeight="1" x14ac:dyDescent="0.25">
      <c r="A14" s="31" t="s">
        <v>9</v>
      </c>
      <c r="B14" s="31" t="s">
        <v>12</v>
      </c>
      <c r="C14" s="31" t="s">
        <v>14</v>
      </c>
      <c r="D14" s="31" t="s">
        <v>143</v>
      </c>
    </row>
    <row r="15" spans="1:9" ht="15" customHeight="1" x14ac:dyDescent="0.25">
      <c r="A15" s="19" t="s">
        <v>27</v>
      </c>
      <c r="B15" s="21">
        <f>SUMIFS(Buchungen!$H$9:$H$42,Buchungen!$E$9:$E$42,$A15)</f>
        <v>3620</v>
      </c>
      <c r="C15" s="21">
        <f>SUMIFS(Buchungen!$J$9:$J$42,Buchungen!$E$9:$E$42,$A15)</f>
        <v>687.8</v>
      </c>
      <c r="D15" s="34">
        <f t="shared" ref="D15:D29" si="0">IFERROR(B15/$B$30,0)</f>
        <v>0.27126874339625473</v>
      </c>
    </row>
    <row r="16" spans="1:9" ht="15" customHeight="1" x14ac:dyDescent="0.25">
      <c r="A16" s="26" t="s">
        <v>46</v>
      </c>
      <c r="B16" s="27">
        <f>SUMIFS(Buchungen!$H$9:$H$42,Buchungen!$E$9:$E$42,$A16)</f>
        <v>620</v>
      </c>
      <c r="C16" s="27">
        <f>SUMIFS(Buchungen!$J$9:$J$42,Buchungen!$E$9:$E$42,$A16)</f>
        <v>117.8</v>
      </c>
      <c r="D16" s="35">
        <f t="shared" si="0"/>
        <v>4.6460392515380644E-2</v>
      </c>
    </row>
    <row r="17" spans="1:4" ht="15" customHeight="1" x14ac:dyDescent="0.25">
      <c r="A17" s="19" t="s">
        <v>49</v>
      </c>
      <c r="B17" s="21">
        <f>SUMIFS(Buchungen!$H$9:$H$42,Buchungen!$E$9:$E$42,$A17)</f>
        <v>1100</v>
      </c>
      <c r="C17" s="21">
        <f>SUMIFS(Buchungen!$J$9:$J$42,Buchungen!$E$9:$E$42,$A17)</f>
        <v>0</v>
      </c>
      <c r="D17" s="34">
        <f t="shared" si="0"/>
        <v>8.2429728656320492E-2</v>
      </c>
    </row>
    <row r="18" spans="1:4" ht="15" customHeight="1" x14ac:dyDescent="0.25">
      <c r="A18" s="26" t="s">
        <v>20</v>
      </c>
      <c r="B18" s="27">
        <f>SUMIFS(Buchungen!$H$9:$H$42,Buchungen!$E$9:$E$42,$A18)</f>
        <v>5100</v>
      </c>
      <c r="C18" s="27">
        <f>SUMIFS(Buchungen!$J$9:$J$42,Buchungen!$E$9:$E$42,$A18)</f>
        <v>0</v>
      </c>
      <c r="D18" s="35">
        <f t="shared" si="0"/>
        <v>0.38217419649748591</v>
      </c>
    </row>
    <row r="19" spans="1:4" ht="15" customHeight="1" x14ac:dyDescent="0.25">
      <c r="A19" s="19" t="s">
        <v>45</v>
      </c>
      <c r="B19" s="21">
        <f>SUMIFS(Buchungen!$H$9:$H$42,Buchungen!$E$9:$E$42,$A19)</f>
        <v>182.60000000000002</v>
      </c>
      <c r="C19" s="21">
        <f>SUMIFS(Buchungen!$J$9:$J$42,Buchungen!$E$9:$E$42,$A19)</f>
        <v>34.694000000000003</v>
      </c>
      <c r="D19" s="34">
        <f t="shared" si="0"/>
        <v>1.3683334956949204E-2</v>
      </c>
    </row>
    <row r="20" spans="1:4" ht="15" customHeight="1" x14ac:dyDescent="0.25">
      <c r="A20" s="26" t="s">
        <v>57</v>
      </c>
      <c r="B20" s="27">
        <f>SUMIFS(Buchungen!$H$9:$H$42,Buchungen!$E$9:$E$42,$A20)</f>
        <v>168</v>
      </c>
      <c r="C20" s="27">
        <f>SUMIFS(Buchungen!$J$9:$J$42,Buchungen!$E$9:$E$42,$A20)</f>
        <v>11.760000000000002</v>
      </c>
      <c r="D20" s="35">
        <f t="shared" si="0"/>
        <v>1.2589267649328948E-2</v>
      </c>
    </row>
    <row r="21" spans="1:4" ht="15" customHeight="1" x14ac:dyDescent="0.25">
      <c r="A21" s="19" t="s">
        <v>52</v>
      </c>
      <c r="B21" s="21">
        <f>SUMIFS(Buchungen!$H$9:$H$42,Buchungen!$E$9:$E$42,$A21)</f>
        <v>300</v>
      </c>
      <c r="C21" s="21">
        <f>SUMIFS(Buchungen!$J$9:$J$42,Buchungen!$E$9:$E$42,$A21)</f>
        <v>57</v>
      </c>
      <c r="D21" s="34">
        <f t="shared" si="0"/>
        <v>2.2480835088087407E-2</v>
      </c>
    </row>
    <row r="22" spans="1:4" ht="15" customHeight="1" x14ac:dyDescent="0.25">
      <c r="A22" s="26" t="s">
        <v>56</v>
      </c>
      <c r="B22" s="27">
        <f>SUMIFS(Buchungen!$H$9:$H$42,Buchungen!$E$9:$E$42,$A22)</f>
        <v>64.3</v>
      </c>
      <c r="C22" s="27">
        <f>SUMIFS(Buchungen!$J$9:$J$42,Buchungen!$E$9:$E$42,$A22)</f>
        <v>12.216999999999999</v>
      </c>
      <c r="D22" s="35">
        <f t="shared" si="0"/>
        <v>4.8183923205467345E-3</v>
      </c>
    </row>
    <row r="23" spans="1:4" ht="15" customHeight="1" x14ac:dyDescent="0.25">
      <c r="A23" s="19" t="s">
        <v>36</v>
      </c>
      <c r="B23" s="21">
        <f>SUMIFS(Buchungen!$H$9:$H$42,Buchungen!$E$9:$E$42,$A23)</f>
        <v>79.900000000000006</v>
      </c>
      <c r="C23" s="21">
        <f>SUMIFS(Buchungen!$J$9:$J$42,Buchungen!$E$9:$E$42,$A23)</f>
        <v>15.181000000000001</v>
      </c>
      <c r="D23" s="34">
        <f t="shared" si="0"/>
        <v>5.9873957451272797E-3</v>
      </c>
    </row>
    <row r="24" spans="1:4" ht="15" customHeight="1" x14ac:dyDescent="0.25">
      <c r="A24" s="26" t="s">
        <v>60</v>
      </c>
      <c r="B24" s="27">
        <f>SUMIFS(Buchungen!$H$9:$H$42,Buchungen!$E$9:$E$42,$A24)</f>
        <v>210</v>
      </c>
      <c r="C24" s="27">
        <f>SUMIFS(Buchungen!$J$9:$J$42,Buchungen!$E$9:$E$42,$A24)</f>
        <v>0</v>
      </c>
      <c r="D24" s="35">
        <f t="shared" si="0"/>
        <v>1.5736584561661184E-2</v>
      </c>
    </row>
    <row r="25" spans="1:4" ht="15" customHeight="1" x14ac:dyDescent="0.25">
      <c r="A25" s="19" t="s">
        <v>67</v>
      </c>
      <c r="B25" s="21">
        <f>SUMIFS(Buchungen!$H$9:$H$42,Buchungen!$E$9:$E$42,$A25)</f>
        <v>145</v>
      </c>
      <c r="C25" s="21">
        <f>SUMIFS(Buchungen!$J$9:$J$42,Buchungen!$E$9:$E$42,$A25)</f>
        <v>10.15</v>
      </c>
      <c r="D25" s="34">
        <f t="shared" si="0"/>
        <v>1.0865736959242247E-2</v>
      </c>
    </row>
    <row r="26" spans="1:4" ht="15" customHeight="1" x14ac:dyDescent="0.25">
      <c r="A26" s="26" t="s">
        <v>72</v>
      </c>
      <c r="B26" s="27">
        <f>SUMIFS(Buchungen!$H$9:$H$42,Buchungen!$E$9:$E$42,$A26)</f>
        <v>330</v>
      </c>
      <c r="C26" s="27">
        <f>SUMIFS(Buchungen!$J$9:$J$42,Buchungen!$E$9:$E$42,$A26)</f>
        <v>0</v>
      </c>
      <c r="D26" s="35">
        <f t="shared" si="0"/>
        <v>2.472891859689615E-2</v>
      </c>
    </row>
    <row r="27" spans="1:4" ht="15" customHeight="1" x14ac:dyDescent="0.25">
      <c r="A27" s="19" t="s">
        <v>41</v>
      </c>
      <c r="B27" s="21">
        <f>SUMIFS(Buchungen!$H$9:$H$42,Buchungen!$E$9:$E$42,$A27)</f>
        <v>14.9</v>
      </c>
      <c r="C27" s="21">
        <f>SUMIFS(Buchungen!$J$9:$J$42,Buchungen!$E$9:$E$42,$A27)</f>
        <v>0</v>
      </c>
      <c r="D27" s="34">
        <f t="shared" si="0"/>
        <v>1.1165481427083412E-3</v>
      </c>
    </row>
    <row r="28" spans="1:4" ht="15" customHeight="1" x14ac:dyDescent="0.25">
      <c r="A28" s="26" t="s">
        <v>77</v>
      </c>
      <c r="B28" s="27">
        <f>SUMIFS(Buchungen!$H$9:$H$42,Buchungen!$E$9:$E$42,$A28)</f>
        <v>1170</v>
      </c>
      <c r="C28" s="27">
        <f>SUMIFS(Buchungen!$J$9:$J$42,Buchungen!$E$9:$E$42,$A28)</f>
        <v>222.3</v>
      </c>
      <c r="D28" s="35">
        <f t="shared" si="0"/>
        <v>8.7675256843540883E-2</v>
      </c>
    </row>
    <row r="29" spans="1:4" ht="15" customHeight="1" x14ac:dyDescent="0.25">
      <c r="A29" s="19" t="s">
        <v>80</v>
      </c>
      <c r="B29" s="21">
        <f>SUMIFS(Buchungen!$H$9:$H$42,Buchungen!$E$9:$E$42,$A29)</f>
        <v>240</v>
      </c>
      <c r="C29" s="21">
        <f>SUMIFS(Buchungen!$J$9:$J$42,Buchungen!$E$9:$E$42,$A29)</f>
        <v>45.6</v>
      </c>
      <c r="D29" s="34">
        <f t="shared" si="0"/>
        <v>1.7984668070469927E-2</v>
      </c>
    </row>
    <row r="30" spans="1:4" ht="18" customHeight="1" x14ac:dyDescent="0.25">
      <c r="A30" s="32" t="s">
        <v>146</v>
      </c>
      <c r="B30" s="29">
        <f>SUM(B15:B29)</f>
        <v>13344.699999999999</v>
      </c>
      <c r="C30" s="29">
        <f>SUM(C15:C29)</f>
        <v>1214.5019999999997</v>
      </c>
      <c r="D30" s="36">
        <f>IFERROR(B30/B30,1)</f>
        <v>1</v>
      </c>
    </row>
    <row r="32" spans="1:4" ht="25.5" customHeight="1" x14ac:dyDescent="0.25">
      <c r="A32" s="37" t="s">
        <v>147</v>
      </c>
      <c r="B32" s="44">
        <f>B11-B30</f>
        <v>13543.800000000001</v>
      </c>
      <c r="C32" s="44"/>
      <c r="D32" s="38" t="s">
        <v>148</v>
      </c>
    </row>
    <row r="34" spans="1:4" ht="19.5" customHeight="1" x14ac:dyDescent="0.25">
      <c r="A34" s="8" t="s">
        <v>149</v>
      </c>
      <c r="B34" s="8"/>
      <c r="C34" s="8"/>
      <c r="D34" s="8"/>
    </row>
    <row r="35" spans="1:4" ht="15" customHeight="1" x14ac:dyDescent="0.25">
      <c r="A35" s="19" t="s">
        <v>150</v>
      </c>
      <c r="B35" s="45">
        <f>SUMIFS(Buchungen!$J$9:$J$42,Buchungen!$F$9:$F$42,"Einnahme")</f>
        <v>5099.6000000000004</v>
      </c>
      <c r="C35" s="45"/>
      <c r="D35" s="39"/>
    </row>
    <row r="36" spans="1:4" ht="15" customHeight="1" x14ac:dyDescent="0.25">
      <c r="A36" s="26" t="s">
        <v>151</v>
      </c>
      <c r="B36" s="46">
        <f>SUMIFS(Buchungen!$J$9:$J$42,Buchungen!$F$9:$F$42,"Ausgabe")</f>
        <v>1214.5019999999997</v>
      </c>
      <c r="C36" s="46"/>
      <c r="D36" s="40"/>
    </row>
    <row r="37" spans="1:4" ht="18" customHeight="1" x14ac:dyDescent="0.25">
      <c r="A37" s="32" t="s">
        <v>152</v>
      </c>
      <c r="B37" s="47">
        <f>B35-B36</f>
        <v>3885.0980000000009</v>
      </c>
      <c r="C37" s="47"/>
      <c r="D37" s="41"/>
    </row>
    <row r="39" spans="1:4" ht="15" customHeight="1" x14ac:dyDescent="0.25">
      <c r="A39" s="7" t="s">
        <v>153</v>
      </c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</sheetData>
  <mergeCells count="9">
    <mergeCell ref="B35:C35"/>
    <mergeCell ref="B36:C36"/>
    <mergeCell ref="B37:C37"/>
    <mergeCell ref="A39:D41"/>
    <mergeCell ref="A1:I2"/>
    <mergeCell ref="A5:D5"/>
    <mergeCell ref="A13:D13"/>
    <mergeCell ref="B32:C32"/>
    <mergeCell ref="A34:D34"/>
  </mergeCells>
  <conditionalFormatting sqref="B15:B29">
    <cfRule type="dataBar" priority="3">
      <dataBar>
        <cfvo type="num" val="0"/>
        <cfvo type="max"/>
        <color rgb="FFB0703A"/>
      </dataBar>
      <extLst>
        <ext xmlns:x14="http://schemas.microsoft.com/office/spreadsheetml/2009/9/main" uri="{B025F937-C7B1-47D3-B67F-A62EFF666E3E}">
          <x14:id>{7B6C4F91-B378-4860-BF7B-55C0ED53EE39}</x14:id>
        </ext>
      </extLst>
    </cfRule>
  </conditionalFormatting>
  <conditionalFormatting sqref="B32">
    <cfRule type="cellIs" dxfId="0" priority="2" operator="lessThan">
      <formula>0</formula>
    </cfRule>
  </conditionalFormatting>
  <pageMargins left="0.75" right="0.75" top="1" bottom="1" header="0.511811023622047" footer="0.511811023622047"/>
  <pageSetup fitToHeight="0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6C4F91-B378-4860-BF7B-55C0ED53EE39}">
            <x14:dataBar axisPosition="none">
              <x14:cfvo type="num">
                <xm:f>0</xm:f>
              </x14:cfvo>
              <x14:cfvo type="max"/>
              <x14:negativeFillColor rgb="FFB0703A"/>
            </x14:dataBar>
          </x14:cfRule>
          <xm:sqref>B15:B29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Buchungen</vt:lpstr>
      <vt:lpstr>Übersicht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2026-08-19T05:13:04Z</dcterms:created>
  <dcterms:modified xsi:type="dcterms:W3CDTF">2026-08-21T08:40:28Z</dcterms:modified>
  <dc:language>en-US</dc:language>
</cp:coreProperties>
</file>