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Vorlage Cloud\Generador Excel\"/>
    </mc:Choice>
  </mc:AlternateContent>
  <xr:revisionPtr revIDLastSave="0" documentId="13_ncr:1_{D75D6942-6CE1-43FC-82FF-DF3B731391FC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Buchungen" sheetId="1" r:id="rId1"/>
    <sheet name="Monatsübersicht" sheetId="2" r:id="rId2"/>
    <sheet name="Kategorienanalyse" sheetId="3" r:id="rId3"/>
    <sheet name="Jahresabschluss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C23" i="4" l="1"/>
  <c r="C22" i="4"/>
  <c r="C21" i="4"/>
  <c r="C20" i="4"/>
  <c r="C19" i="4"/>
  <c r="C18" i="4"/>
  <c r="C17" i="4"/>
  <c r="C16" i="4"/>
  <c r="C15" i="4"/>
  <c r="C14" i="4"/>
  <c r="C24" i="4" s="1"/>
  <c r="C9" i="4"/>
  <c r="C8" i="4"/>
  <c r="C7" i="4"/>
  <c r="C10" i="4" s="1"/>
  <c r="C11" i="4" s="1"/>
  <c r="C28" i="4" s="1"/>
  <c r="H17" i="3"/>
  <c r="G16" i="3"/>
  <c r="D11" i="3"/>
  <c r="C10" i="3"/>
  <c r="G16" i="2"/>
  <c r="F16" i="2"/>
  <c r="D16" i="2"/>
  <c r="C16" i="2"/>
  <c r="E16" i="2" s="1"/>
  <c r="G15" i="2"/>
  <c r="F15" i="2"/>
  <c r="D15" i="2"/>
  <c r="C15" i="2"/>
  <c r="E15" i="2" s="1"/>
  <c r="G14" i="2"/>
  <c r="F14" i="2"/>
  <c r="D14" i="2"/>
  <c r="C14" i="2"/>
  <c r="E14" i="2" s="1"/>
  <c r="G13" i="2"/>
  <c r="F13" i="2"/>
  <c r="D13" i="2"/>
  <c r="C13" i="2"/>
  <c r="E13" i="2" s="1"/>
  <c r="G12" i="2"/>
  <c r="F12" i="2"/>
  <c r="D12" i="2"/>
  <c r="C12" i="2"/>
  <c r="E12" i="2" s="1"/>
  <c r="G11" i="2"/>
  <c r="F11" i="2"/>
  <c r="D11" i="2"/>
  <c r="C11" i="2"/>
  <c r="E11" i="2" s="1"/>
  <c r="G10" i="2"/>
  <c r="F10" i="2"/>
  <c r="D10" i="2"/>
  <c r="C10" i="2"/>
  <c r="E10" i="2" s="1"/>
  <c r="G9" i="2"/>
  <c r="F9" i="2"/>
  <c r="D9" i="2"/>
  <c r="C9" i="2"/>
  <c r="E9" i="2" s="1"/>
  <c r="G8" i="2"/>
  <c r="F8" i="2"/>
  <c r="D8" i="2"/>
  <c r="C8" i="2"/>
  <c r="E8" i="2" s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I33" i="1"/>
  <c r="J32" i="1"/>
  <c r="I32" i="1"/>
  <c r="J31" i="1"/>
  <c r="I31" i="1"/>
  <c r="J30" i="1"/>
  <c r="I30" i="1"/>
  <c r="J29" i="1"/>
  <c r="I29" i="1"/>
  <c r="I28" i="1"/>
  <c r="J28" i="1" s="1"/>
  <c r="I27" i="1"/>
  <c r="J27" i="1" s="1"/>
  <c r="I26" i="1"/>
  <c r="J26" i="1" s="1"/>
  <c r="J25" i="1"/>
  <c r="G9" i="3" s="1"/>
  <c r="I25" i="1"/>
  <c r="I24" i="1"/>
  <c r="F7" i="2" s="1"/>
  <c r="I23" i="1"/>
  <c r="G7" i="2" s="1"/>
  <c r="I22" i="1"/>
  <c r="J22" i="1" s="1"/>
  <c r="J21" i="1"/>
  <c r="D18" i="4" s="1"/>
  <c r="I21" i="1"/>
  <c r="J20" i="1"/>
  <c r="I20" i="1"/>
  <c r="I19" i="1"/>
  <c r="J19" i="1" s="1"/>
  <c r="I18" i="1"/>
  <c r="G6" i="2" s="1"/>
  <c r="I17" i="1"/>
  <c r="F6" i="2" s="1"/>
  <c r="I16" i="1"/>
  <c r="J16" i="1" s="1"/>
  <c r="J15" i="1"/>
  <c r="G13" i="3" s="1"/>
  <c r="I15" i="1"/>
  <c r="I14" i="1"/>
  <c r="J14" i="1" s="1"/>
  <c r="I13" i="1"/>
  <c r="J13" i="1" s="1"/>
  <c r="I12" i="1"/>
  <c r="G5" i="2" s="1"/>
  <c r="J11" i="1"/>
  <c r="I11" i="1"/>
  <c r="D31" i="4" s="1"/>
  <c r="J10" i="1"/>
  <c r="I10" i="1"/>
  <c r="I9" i="1"/>
  <c r="J9" i="1" s="1"/>
  <c r="H5" i="1"/>
  <c r="C5" i="2" l="1"/>
  <c r="C7" i="3"/>
  <c r="D7" i="4"/>
  <c r="D17" i="4"/>
  <c r="G10" i="3"/>
  <c r="G8" i="3"/>
  <c r="D15" i="4"/>
  <c r="G17" i="2"/>
  <c r="G15" i="3"/>
  <c r="D22" i="4"/>
  <c r="D5" i="2"/>
  <c r="D17" i="2" s="1"/>
  <c r="G14" i="3"/>
  <c r="D21" i="4"/>
  <c r="C8" i="3"/>
  <c r="D8" i="4"/>
  <c r="J12" i="1"/>
  <c r="D20" i="4"/>
  <c r="G11" i="3"/>
  <c r="J23" i="1"/>
  <c r="D7" i="2" s="1"/>
  <c r="J24" i="1"/>
  <c r="C7" i="2" s="1"/>
  <c r="E7" i="2" s="1"/>
  <c r="F5" i="2"/>
  <c r="F17" i="2" s="1"/>
  <c r="J17" i="1"/>
  <c r="G7" i="3"/>
  <c r="D14" i="4"/>
  <c r="J18" i="1"/>
  <c r="D6" i="2" s="1"/>
  <c r="C30" i="4"/>
  <c r="C32" i="4" s="1"/>
  <c r="D16" i="4"/>
  <c r="D30" i="4"/>
  <c r="D32" i="4" s="1"/>
  <c r="C31" i="4"/>
  <c r="G12" i="3" l="1"/>
  <c r="G17" i="3" s="1"/>
  <c r="D19" i="4"/>
  <c r="C9" i="3"/>
  <c r="C11" i="3" s="1"/>
  <c r="C6" i="2"/>
  <c r="E6" i="2" s="1"/>
  <c r="D9" i="4"/>
  <c r="D10" i="4" s="1"/>
  <c r="D5" i="1"/>
  <c r="E5" i="2"/>
  <c r="B5" i="1"/>
  <c r="F5" i="1" s="1"/>
  <c r="D10" i="3" l="1"/>
  <c r="D8" i="3"/>
  <c r="D7" i="3"/>
  <c r="H13" i="3"/>
  <c r="H16" i="3"/>
  <c r="H9" i="3"/>
  <c r="H14" i="3"/>
  <c r="H11" i="3"/>
  <c r="H10" i="3"/>
  <c r="H7" i="3"/>
  <c r="H15" i="3"/>
  <c r="H8" i="3"/>
  <c r="C17" i="2"/>
  <c r="D11" i="4"/>
  <c r="E17" i="2"/>
  <c r="D23" i="4"/>
  <c r="D24" i="4" s="1"/>
  <c r="H12" i="3"/>
  <c r="D9" i="3"/>
  <c r="D28" i="4" l="1"/>
</calcChain>
</file>

<file path=xl/sharedStrings.xml><?xml version="1.0" encoding="utf-8"?>
<sst xmlns="http://schemas.openxmlformats.org/spreadsheetml/2006/main" count="174" uniqueCount="131">
  <si>
    <t>Systematische Erfassung aller Einnahmen und Ausgaben</t>
  </si>
  <si>
    <t>GESAMT-EINNAHMEN</t>
  </si>
  <si>
    <t>GESAMT-AUSGABEN</t>
  </si>
  <si>
    <t>ÜBERSCHUSS / DEFIZIT</t>
  </si>
  <si>
    <t>ANZAHL BUCHUNGEN</t>
  </si>
  <si>
    <t>Nr.</t>
  </si>
  <si>
    <t>Datum</t>
  </si>
  <si>
    <t>Beleg-Nr.</t>
  </si>
  <si>
    <t>Bezeichnung / Beschreibung</t>
  </si>
  <si>
    <t>Kategorie</t>
  </si>
  <si>
    <t>Typ</t>
  </si>
  <si>
    <t>Netto (€)</t>
  </si>
  <si>
    <t>MwSt. (%)</t>
  </si>
  <si>
    <t>MwSt. (€)</t>
  </si>
  <si>
    <t>Brutto (€)</t>
  </si>
  <si>
    <t>RE-2026-001</t>
  </si>
  <si>
    <t>Beratungsleistung Projekt Alpha</t>
  </si>
  <si>
    <t>Dienstleistungen</t>
  </si>
  <si>
    <t>Einnahme</t>
  </si>
  <si>
    <t>RE-2026-002</t>
  </si>
  <si>
    <t>Softwarelizenz Jahresabo</t>
  </si>
  <si>
    <t>BE-2026-001</t>
  </si>
  <si>
    <t>Büromiete Januar</t>
  </si>
  <si>
    <t>Miete &amp; Betrieb</t>
  </si>
  <si>
    <t>Ausgabe</t>
  </si>
  <si>
    <t>BE-2026-002</t>
  </si>
  <si>
    <t>Telefonanlage &amp; Internet</t>
  </si>
  <si>
    <t>Kommunikation</t>
  </si>
  <si>
    <t>RE-2026-003</t>
  </si>
  <si>
    <t>Produktverkauf Auftrag Nr. 4417</t>
  </si>
  <si>
    <t>Warenverkauf</t>
  </si>
  <si>
    <t>BE-2026-003</t>
  </si>
  <si>
    <t>Büromaterial &amp; Verbrauchsgüter</t>
  </si>
  <si>
    <t>Verwaltung</t>
  </si>
  <si>
    <t>BE-2026-004</t>
  </si>
  <si>
    <t>Steuerberatung Q4/2025</t>
  </si>
  <si>
    <t>Beratung &amp; Honorare</t>
  </si>
  <si>
    <t>RE-2026-004</t>
  </si>
  <si>
    <t>Wartungsvertrag Bestandskunde</t>
  </si>
  <si>
    <t>RE-2026-005</t>
  </si>
  <si>
    <t>Workshop-Teilnehmergebühren</t>
  </si>
  <si>
    <t>Schulungen &amp; Seminare</t>
  </si>
  <si>
    <t>BE-2026-005</t>
  </si>
  <si>
    <t>Büromiete Februar</t>
  </si>
  <si>
    <t>BE-2026-006</t>
  </si>
  <si>
    <t>Reisekosten Kundentermin Hannover</t>
  </si>
  <si>
    <t>Reise &amp; Fahrtkosten</t>
  </si>
  <si>
    <t>RE-2026-006</t>
  </si>
  <si>
    <t>Beratungsleistung Projekt Beta</t>
  </si>
  <si>
    <t>BE-2026-007</t>
  </si>
  <si>
    <t>Werbeanzeige Fachmagazin</t>
  </si>
  <si>
    <t>Marketing &amp; Werbung</t>
  </si>
  <si>
    <t>RE-2026-007</t>
  </si>
  <si>
    <t>Produktverkauf Auftrag Nr. 4431</t>
  </si>
  <si>
    <t>BE-2026-008</t>
  </si>
  <si>
    <t>Büromiete März</t>
  </si>
  <si>
    <t>RE-2026-008</t>
  </si>
  <si>
    <t>Schulungsunterlagen &amp; E-Learning</t>
  </si>
  <si>
    <t>BE-2026-009</t>
  </si>
  <si>
    <t>EDV-Wartung &amp; IT-Support</t>
  </si>
  <si>
    <t>IT &amp; Technik</t>
  </si>
  <si>
    <t>RE-2026-009</t>
  </si>
  <si>
    <t>Beratungsleistung Projekt Gamma</t>
  </si>
  <si>
    <t>BE-2026-010</t>
  </si>
  <si>
    <t>Versicherungsprämie Betriebshaftpflicht</t>
  </si>
  <si>
    <t>Versicherungen</t>
  </si>
  <si>
    <t>BE-2026-011</t>
  </si>
  <si>
    <t>Gehalt Aushilfe März</t>
  </si>
  <si>
    <t>Personal &amp; Löhne</t>
  </si>
  <si>
    <t>ⓘ  Spalten I (MwSt. €) und J (Brutto €) werden automatisch berechnet · Spalte F und E: Dropdown-Auswahl · Felder mit hellgelbem Hintergrund = Einnahmen · Graue Felder = Ausgaben</t>
  </si>
  <si>
    <t>MONATSÜBERSICHT 2026</t>
  </si>
  <si>
    <t>Automatische Auswertung aus dem Buchungsblatt</t>
  </si>
  <si>
    <t>Monat</t>
  </si>
  <si>
    <t>Einnahmen (€)</t>
  </si>
  <si>
    <t>Ausgaben (€)</t>
  </si>
  <si>
    <t>Überschuss / Defizit (€)</t>
  </si>
  <si>
    <t>MwSt. Einnahmen (€)</t>
  </si>
  <si>
    <t>MwSt. Ausgaben (€)</t>
  </si>
  <si>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</si>
  <si>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</si>
  <si>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</si>
  <si>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</si>
  <si>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</si>
  <si>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</si>
  <si>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</si>
  <si>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</si>
  <si>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</si>
  <si>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</si>
  <si>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</si>
  <si>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</si>
  <si>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JAHRESSUMME</t>
  </si>
  <si>
    <t>KATEGORIENANALYSE 2026</t>
  </si>
  <si>
    <t>Einnahmen und Ausgaben nach Kategorien im Überblick</t>
  </si>
  <si>
    <t>EINNAHMEN NACH KATEGORIE</t>
  </si>
  <si>
    <t>AUSGABEN NACH KATEGORIE</t>
  </si>
  <si>
    <t>Brutto Einnahmen (€)</t>
  </si>
  <si>
    <t>Anteil (%)</t>
  </si>
  <si>
    <t>Brutto Ausgaben (€)</t>
  </si>
  <si>
    <t>Sonstige</t>
  </si>
  <si>
    <t>GESAMT</t>
  </si>
  <si>
    <t>JAHRESABSCHLUSS 2026  |  Einnahmen-Überschuss-Rechnung</t>
  </si>
  <si>
    <t>Zusammenfassung des Wirtschaftsjahres · Automatisch berechnet</t>
  </si>
  <si>
    <t>Position</t>
  </si>
  <si>
    <t>Betrag (Netto €)</t>
  </si>
  <si>
    <t>Betrag (Brutto €)</t>
  </si>
  <si>
    <t>A.  BETRIEBLICHE EINNAHMEN</t>
  </si>
  <si>
    <t>Dienstleistungserlöse</t>
  </si>
  <si>
    <t>Warenverkaufserlöse</t>
  </si>
  <si>
    <t>Schulungs- und Seminareinnahmen</t>
  </si>
  <si>
    <t>Sonstige betriebliche Einnahmen</t>
  </si>
  <si>
    <t>SUMME EINNAHMEN</t>
  </si>
  <si>
    <t>B.  BETRIEBLICHE AUSGABEN</t>
  </si>
  <si>
    <t>Miet- und Betriebskosten</t>
  </si>
  <si>
    <t>Personalaufwendungen</t>
  </si>
  <si>
    <t>IT und Technikkosten</t>
  </si>
  <si>
    <t>Reise- und Fahrtkosten</t>
  </si>
  <si>
    <t>Marketing und Werbung</t>
  </si>
  <si>
    <t>Kommunikationskosten</t>
  </si>
  <si>
    <t>Beratungskosten und Honorare</t>
  </si>
  <si>
    <t>Versicherungsprämien</t>
  </si>
  <si>
    <t>Verwaltungskosten</t>
  </si>
  <si>
    <t>Sonstige Ausgaben</t>
  </si>
  <si>
    <t>SUMME AUSGABEN</t>
  </si>
  <si>
    <t>C.  JAHRESERGEBNIS</t>
  </si>
  <si>
    <t>GEWINN / VERLUST VOR STEUERN (Netto)</t>
  </si>
  <si>
    <t>Ergebnis:</t>
  </si>
  <si>
    <t>D.  UMSATZSTEUER-ÜBERSICHT (informativ)</t>
  </si>
  <si>
    <t>Vereinnahmte Umsatzsteuer (Umsatzsteuer an FA)</t>
  </si>
  <si>
    <t>Gezahlte Vorsteuer (Vorsteuer vom FA)</t>
  </si>
  <si>
    <t>Zahllast / Vorsteuerüberhang</t>
  </si>
  <si>
    <t>EINNAHMEN-AUSGABEN-RECHNUNG  |  Wirtschaftsjahr 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</si>
</sst>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&quot; €&quot;"/>
    <numFmt numFmtId="165" formatCode="dd\.mm\.yyyy"/>
    <numFmt numFmtId="166" formatCode="0.0%"/>
  </numFmts>
  <fonts count="28" x14ac:knownFonts="1">
    <font>
      <sz val="11"/>
      <color theme="1"/>
      <name val="Calibri"/>
      <family val="2"/>
      <charset val="1"/>
    </font>
    <font>
      <b/>
      <sz val="16"/>
      <color rgb="FFC8972B"/>
      <name val="Calibri"/>
      <charset val="1"/>
    </font>
    <font>
      <sz val="10"/>
      <color rgb="FFBFC8D9"/>
      <name val="Calibri"/>
      <charset val="1"/>
    </font>
    <font>
      <b/>
      <sz val="8"/>
      <color rgb="FF4A5568"/>
      <name val="Calibri"/>
      <charset val="1"/>
    </font>
    <font>
      <b/>
      <sz val="16"/>
      <color rgb="FF1A6B3C"/>
      <name val="Calibri"/>
      <charset val="1"/>
    </font>
    <font>
      <b/>
      <sz val="16"/>
      <color rgb="FF8B1A2B"/>
      <name val="Calibri"/>
      <charset val="1"/>
    </font>
    <font>
      <b/>
      <sz val="16"/>
      <color rgb="FF1B2A4A"/>
      <name val="Calibri"/>
      <charset val="1"/>
    </font>
    <font>
      <b/>
      <sz val="16"/>
      <color rgb="FF4A5568"/>
      <name val="Calibri"/>
      <charset val="1"/>
    </font>
    <font>
      <b/>
      <sz val="9"/>
      <color rgb="FFFFFFFF"/>
      <name val="Calibri"/>
      <charset val="1"/>
    </font>
    <font>
      <sz val="8"/>
      <color rgb="FFBFC8D9"/>
      <name val="Calibri"/>
      <charset val="1"/>
    </font>
    <font>
      <sz val="9"/>
      <name val="Calibri"/>
      <charset val="1"/>
    </font>
    <font>
      <sz val="8"/>
      <color rgb="FF4A5568"/>
      <name val="Calibri"/>
      <charset val="1"/>
    </font>
    <font>
      <b/>
      <sz val="8"/>
      <color rgb="FF1A6B3C"/>
      <name val="Calibri"/>
      <charset val="1"/>
    </font>
    <font>
      <sz val="9"/>
      <color rgb="FF4A5568"/>
      <name val="Calibri"/>
      <charset val="1"/>
    </font>
    <font>
      <b/>
      <sz val="9"/>
      <color rgb="FF1A6B3C"/>
      <name val="Calibri"/>
      <charset val="1"/>
    </font>
    <font>
      <b/>
      <sz val="8"/>
      <color rgb="FF8B1A2B"/>
      <name val="Calibri"/>
      <charset val="1"/>
    </font>
    <font>
      <b/>
      <sz val="9"/>
      <color rgb="FF8B1A2B"/>
      <name val="Calibri"/>
      <charset val="1"/>
    </font>
    <font>
      <b/>
      <sz val="9"/>
      <name val="Calibri"/>
      <charset val="1"/>
    </font>
    <font>
      <i/>
      <sz val="8"/>
      <color rgb="FF4A5568"/>
      <name val="Calibri"/>
      <charset val="1"/>
    </font>
    <font>
      <b/>
      <sz val="15"/>
      <color rgb="FFC8972B"/>
      <name val="Calibri"/>
      <charset val="1"/>
    </font>
    <font>
      <sz val="9"/>
      <color rgb="FFBFC8D9"/>
      <name val="Calibri"/>
      <charset val="1"/>
    </font>
    <font>
      <b/>
      <sz val="9"/>
      <color rgb="FF1B2A4A"/>
      <name val="Calibri"/>
      <charset val="1"/>
    </font>
    <font>
      <b/>
      <sz val="10"/>
      <color rgb="FFFFFFFF"/>
      <name val="Calibri"/>
      <charset val="1"/>
    </font>
    <font>
      <b/>
      <sz val="11"/>
      <color rgb="FFC8972B"/>
      <name val="Calibri"/>
      <charset val="1"/>
    </font>
    <font>
      <sz val="9"/>
      <color rgb="FF1B2A4A"/>
      <name val="Calibri"/>
      <charset val="1"/>
    </font>
    <font>
      <b/>
      <sz val="14"/>
      <color rgb="FFC8972B"/>
      <name val="Calibri"/>
      <charset val="1"/>
    </font>
    <font>
      <sz val="9"/>
      <color rgb="FF8B1A2B"/>
      <name val="Calibri"/>
      <charset val="1"/>
    </font>
    <font>
      <b/>
      <sz val="10"/>
      <color rgb="FFC8972B"/>
      <name val="Calibri"/>
      <charset val="1"/>
    </font>
  </fonts>
  <fills count="14">
    <fill>
      <patternFill patternType="none"/>
    </fill>
    <fill>
      <patternFill patternType="gray125"/>
    </fill>
    <fill>
      <patternFill patternType="solid">
        <fgColor rgb="FF1B2A4A"/>
        <bgColor rgb="FF003366"/>
      </patternFill>
    </fill>
    <fill>
      <patternFill patternType="solid">
        <fgColor rgb="FFEFF2F7"/>
        <bgColor rgb="FFF7F8FA"/>
      </patternFill>
    </fill>
    <fill>
      <patternFill patternType="solid">
        <fgColor rgb="FFFDF3DC"/>
        <bgColor rgb="FFF7F8FA"/>
      </patternFill>
    </fill>
    <fill>
      <patternFill patternType="solid">
        <fgColor rgb="FFFFFFFF"/>
        <bgColor rgb="FFF7F8FA"/>
      </patternFill>
    </fill>
    <fill>
      <patternFill patternType="solid">
        <fgColor rgb="FFF7F8FA"/>
        <bgColor rgb="FFEFF2F7"/>
      </patternFill>
    </fill>
    <fill>
      <patternFill patternType="solid">
        <fgColor rgb="FF1A6B3C"/>
        <bgColor rgb="FF2D6B45"/>
      </patternFill>
    </fill>
    <fill>
      <patternFill patternType="solid">
        <fgColor rgb="FF8B1A2B"/>
        <bgColor rgb="FF6B1A2B"/>
      </patternFill>
    </fill>
    <fill>
      <patternFill patternType="solid">
        <fgColor rgb="FF2D6B45"/>
        <bgColor rgb="FF1A6B3C"/>
      </patternFill>
    </fill>
    <fill>
      <patternFill patternType="solid">
        <fgColor rgb="FF6B1A2B"/>
        <bgColor rgb="FF8B1A2B"/>
      </patternFill>
    </fill>
    <fill>
      <patternFill patternType="solid">
        <fgColor rgb="FF4A5568"/>
        <bgColor rgb="FF2D6B45"/>
      </patternFill>
    </fill>
    <fill>
      <patternFill patternType="solid">
        <fgColor rgb="FFD4EDDA"/>
        <bgColor rgb="FFD0D7E3"/>
      </patternFill>
    </fill>
    <fill>
      <patternFill patternType="solid">
        <fgColor rgb="FFFDDDE6"/>
        <bgColor rgb="FFFDF3DC"/>
      </patternFill>
    </fill>
  </fills>
  <borders count="7">
    <border>
      <left/>
      <right/>
      <top/>
      <bottom/>
      <diagonal/>
    </border>
    <border>
      <left/>
      <right/>
      <top style="thin">
        <color rgb="FFC8972B"/>
      </top>
      <bottom/>
      <diagonal/>
    </border>
    <border>
      <left/>
      <right/>
      <top/>
      <bottom style="thin">
        <color rgb="FFC8972B"/>
      </bottom>
      <diagonal/>
    </border>
    <border>
      <left/>
      <right/>
      <top/>
      <bottom style="medium">
        <color rgb="FFC8972B"/>
      </bottom>
      <diagonal/>
    </border>
    <border>
      <left/>
      <right/>
      <top/>
      <bottom style="hair">
        <color rgb="FFD0D7E3"/>
      </bottom>
      <diagonal/>
    </border>
    <border>
      <left/>
      <right/>
      <top style="medium">
        <color rgb="FFC8972B"/>
      </top>
      <bottom/>
      <diagonal/>
    </border>
    <border>
      <left/>
      <right/>
      <top style="medium">
        <color rgb="FFC8972B"/>
      </top>
      <bottom style="medium">
        <color rgb="FFC8972B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2" fillId="8" borderId="0" xfId="0" applyFont="1" applyFill="1" applyAlignment="1">
      <alignment horizontal="center" vertical="center"/>
    </xf>
    <xf numFmtId="0" fontId="22" fillId="7" borderId="0" xfId="0" applyFont="1" applyFill="1" applyAlignment="1">
      <alignment horizontal="center" vertical="center"/>
    </xf>
    <xf numFmtId="0" fontId="22" fillId="2" borderId="0" xfId="0" applyFont="1" applyFill="1" applyAlignment="1">
      <alignment horizontal="center" vertical="center"/>
    </xf>
    <xf numFmtId="0" fontId="20" fillId="2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center" vertical="center"/>
    </xf>
    <xf numFmtId="0" fontId="18" fillId="6" borderId="0" xfId="0" applyFont="1" applyFill="1" applyAlignment="1">
      <alignment horizontal="left" vertical="center"/>
    </xf>
    <xf numFmtId="1" fontId="7" fillId="3" borderId="0" xfId="0" applyNumberFormat="1" applyFont="1" applyFill="1" applyAlignment="1">
      <alignment horizontal="center" vertical="center"/>
    </xf>
    <xf numFmtId="164" fontId="6" fillId="3" borderId="0" xfId="0" applyNumberFormat="1" applyFont="1" applyFill="1" applyAlignment="1">
      <alignment horizontal="center" vertical="center"/>
    </xf>
    <xf numFmtId="164" fontId="5" fillId="3" borderId="0" xfId="0" applyNumberFormat="1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0" xfId="0" applyFill="1"/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3" borderId="2" xfId="0" applyFill="1" applyBorder="1"/>
    <xf numFmtId="0" fontId="8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/>
    </xf>
    <xf numFmtId="165" fontId="10" fillId="4" borderId="4" xfId="0" applyNumberFormat="1" applyFont="1" applyFill="1" applyBorder="1" applyAlignment="1">
      <alignment horizontal="center" vertical="center"/>
    </xf>
    <xf numFmtId="0" fontId="11" fillId="4" borderId="4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left" vertical="center" indent="1"/>
    </xf>
    <xf numFmtId="0" fontId="12" fillId="4" borderId="4" xfId="0" applyFont="1" applyFill="1" applyBorder="1" applyAlignment="1">
      <alignment horizontal="center" vertical="center"/>
    </xf>
    <xf numFmtId="164" fontId="10" fillId="4" borderId="4" xfId="0" applyNumberFormat="1" applyFont="1" applyFill="1" applyBorder="1" applyAlignment="1">
      <alignment horizontal="right" vertical="center"/>
    </xf>
    <xf numFmtId="9" fontId="13" fillId="4" borderId="4" xfId="0" applyNumberFormat="1" applyFont="1" applyFill="1" applyBorder="1" applyAlignment="1">
      <alignment horizontal="center" vertical="center"/>
    </xf>
    <xf numFmtId="164" fontId="13" fillId="4" borderId="4" xfId="0" applyNumberFormat="1" applyFont="1" applyFill="1" applyBorder="1" applyAlignment="1">
      <alignment horizontal="right" vertical="center"/>
    </xf>
    <xf numFmtId="164" fontId="14" fillId="4" borderId="4" xfId="0" applyNumberFormat="1" applyFont="1" applyFill="1" applyBorder="1" applyAlignment="1">
      <alignment horizontal="right" vertical="center"/>
    </xf>
    <xf numFmtId="165" fontId="10" fillId="3" borderId="4" xfId="0" applyNumberFormat="1" applyFont="1" applyFill="1" applyBorder="1" applyAlignment="1">
      <alignment horizontal="center" vertical="center"/>
    </xf>
    <xf numFmtId="0" fontId="11" fillId="3" borderId="4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left" vertical="center" indent="1"/>
    </xf>
    <xf numFmtId="0" fontId="15" fillId="3" borderId="4" xfId="0" applyFont="1" applyFill="1" applyBorder="1" applyAlignment="1">
      <alignment horizontal="center" vertical="center"/>
    </xf>
    <xf numFmtId="164" fontId="10" fillId="3" borderId="4" xfId="0" applyNumberFormat="1" applyFont="1" applyFill="1" applyBorder="1" applyAlignment="1">
      <alignment horizontal="right" vertical="center"/>
    </xf>
    <xf numFmtId="9" fontId="13" fillId="3" borderId="4" xfId="0" applyNumberFormat="1" applyFont="1" applyFill="1" applyBorder="1" applyAlignment="1">
      <alignment horizontal="center" vertical="center"/>
    </xf>
    <xf numFmtId="164" fontId="13" fillId="3" borderId="4" xfId="0" applyNumberFormat="1" applyFont="1" applyFill="1" applyBorder="1" applyAlignment="1">
      <alignment horizontal="right" vertical="center"/>
    </xf>
    <xf numFmtId="164" fontId="16" fillId="3" borderId="4" xfId="0" applyNumberFormat="1" applyFont="1" applyFill="1" applyBorder="1" applyAlignment="1">
      <alignment horizontal="right" vertical="center"/>
    </xf>
    <xf numFmtId="165" fontId="10" fillId="5" borderId="4" xfId="0" applyNumberFormat="1" applyFont="1" applyFill="1" applyBorder="1" applyAlignment="1">
      <alignment horizontal="center" vertical="center"/>
    </xf>
    <xf numFmtId="0" fontId="11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left" vertical="center" indent="1"/>
    </xf>
    <xf numFmtId="0" fontId="15" fillId="5" borderId="4" xfId="0" applyFont="1" applyFill="1" applyBorder="1" applyAlignment="1">
      <alignment horizontal="center" vertical="center"/>
    </xf>
    <xf numFmtId="164" fontId="10" fillId="5" borderId="4" xfId="0" applyNumberFormat="1" applyFont="1" applyFill="1" applyBorder="1" applyAlignment="1">
      <alignment horizontal="right" vertical="center"/>
    </xf>
    <xf numFmtId="9" fontId="13" fillId="5" borderId="4" xfId="0" applyNumberFormat="1" applyFont="1" applyFill="1" applyBorder="1" applyAlignment="1">
      <alignment horizontal="center" vertical="center"/>
    </xf>
    <xf numFmtId="164" fontId="13" fillId="5" borderId="4" xfId="0" applyNumberFormat="1" applyFont="1" applyFill="1" applyBorder="1" applyAlignment="1">
      <alignment horizontal="right" vertical="center"/>
    </xf>
    <xf numFmtId="164" fontId="16" fillId="5" borderId="4" xfId="0" applyNumberFormat="1" applyFont="1" applyFill="1" applyBorder="1" applyAlignment="1">
      <alignment horizontal="right" vertical="center"/>
    </xf>
    <xf numFmtId="0" fontId="9" fillId="2" borderId="0" xfId="0" applyFont="1" applyFill="1" applyAlignment="1">
      <alignment horizontal="center" vertical="center"/>
    </xf>
    <xf numFmtId="165" fontId="0" fillId="3" borderId="4" xfId="0" applyNumberFormat="1" applyFill="1" applyBorder="1" applyAlignment="1">
      <alignment horizontal="center" vertical="center"/>
    </xf>
    <xf numFmtId="0" fontId="0" fillId="3" borderId="4" xfId="0" applyFill="1" applyBorder="1"/>
    <xf numFmtId="164" fontId="17" fillId="3" borderId="4" xfId="0" applyNumberFormat="1" applyFont="1" applyFill="1" applyBorder="1" applyAlignment="1">
      <alignment horizontal="right" vertical="center"/>
    </xf>
    <xf numFmtId="165" fontId="0" fillId="5" borderId="4" xfId="0" applyNumberFormat="1" applyFill="1" applyBorder="1" applyAlignment="1">
      <alignment horizontal="center" vertical="center"/>
    </xf>
    <xf numFmtId="0" fontId="0" fillId="5" borderId="4" xfId="0" applyFill="1" applyBorder="1"/>
    <xf numFmtId="164" fontId="17" fillId="5" borderId="4" xfId="0" applyNumberFormat="1" applyFont="1" applyFill="1" applyBorder="1" applyAlignment="1">
      <alignment horizontal="right" vertical="center"/>
    </xf>
    <xf numFmtId="0" fontId="8" fillId="2" borderId="3" xfId="0" applyFont="1" applyFill="1" applyBorder="1" applyAlignment="1">
      <alignment horizontal="center" vertical="center"/>
    </xf>
    <xf numFmtId="0" fontId="21" fillId="3" borderId="4" xfId="0" applyFont="1" applyFill="1" applyBorder="1" applyAlignment="1">
      <alignment horizontal="left" vertical="center" indent="1"/>
    </xf>
    <xf numFmtId="164" fontId="14" fillId="3" borderId="4" xfId="0" applyNumberFormat="1" applyFont="1" applyFill="1" applyBorder="1" applyAlignment="1">
      <alignment horizontal="right" vertical="center"/>
    </xf>
    <xf numFmtId="164" fontId="21" fillId="3" borderId="4" xfId="0" applyNumberFormat="1" applyFont="1" applyFill="1" applyBorder="1" applyAlignment="1">
      <alignment horizontal="right" vertical="center"/>
    </xf>
    <xf numFmtId="0" fontId="21" fillId="5" borderId="4" xfId="0" applyFont="1" applyFill="1" applyBorder="1" applyAlignment="1">
      <alignment horizontal="left" vertical="center" indent="1"/>
    </xf>
    <xf numFmtId="164" fontId="14" fillId="5" borderId="4" xfId="0" applyNumberFormat="1" applyFont="1" applyFill="1" applyBorder="1" applyAlignment="1">
      <alignment horizontal="right" vertical="center"/>
    </xf>
    <xf numFmtId="164" fontId="21" fillId="5" borderId="4" xfId="0" applyNumberFormat="1" applyFont="1" applyFill="1" applyBorder="1" applyAlignment="1">
      <alignment horizontal="right" vertical="center"/>
    </xf>
    <xf numFmtId="164" fontId="23" fillId="2" borderId="5" xfId="0" applyNumberFormat="1" applyFont="1" applyFill="1" applyBorder="1" applyAlignment="1">
      <alignment horizontal="right" vertical="center"/>
    </xf>
    <xf numFmtId="0" fontId="8" fillId="9" borderId="3" xfId="0" applyFont="1" applyFill="1" applyBorder="1" applyAlignment="1">
      <alignment horizontal="center" vertical="center"/>
    </xf>
    <xf numFmtId="0" fontId="8" fillId="10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left" vertical="center" indent="1"/>
    </xf>
    <xf numFmtId="166" fontId="13" fillId="4" borderId="4" xfId="0" applyNumberFormat="1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left" vertical="center" indent="1"/>
    </xf>
    <xf numFmtId="166" fontId="13" fillId="3" borderId="4" xfId="0" applyNumberFormat="1" applyFont="1" applyFill="1" applyBorder="1" applyAlignment="1">
      <alignment horizontal="right" vertical="center"/>
    </xf>
    <xf numFmtId="0" fontId="24" fillId="5" borderId="4" xfId="0" applyFont="1" applyFill="1" applyBorder="1" applyAlignment="1">
      <alignment horizontal="left" vertical="center" indent="1"/>
    </xf>
    <xf numFmtId="166" fontId="13" fillId="5" borderId="4" xfId="0" applyNumberFormat="1" applyFont="1" applyFill="1" applyBorder="1" applyAlignment="1">
      <alignment horizontal="right" vertical="center"/>
    </xf>
    <xf numFmtId="0" fontId="8" fillId="7" borderId="0" xfId="0" applyFont="1" applyFill="1" applyAlignment="1">
      <alignment horizontal="left" vertical="center" indent="1"/>
    </xf>
    <xf numFmtId="164" fontId="8" fillId="7" borderId="0" xfId="0" applyNumberFormat="1" applyFont="1" applyFill="1" applyAlignment="1">
      <alignment horizontal="right" vertical="center"/>
    </xf>
    <xf numFmtId="0" fontId="8" fillId="7" borderId="0" xfId="0" applyFont="1" applyFill="1" applyAlignment="1">
      <alignment horizontal="right" vertical="center"/>
    </xf>
    <xf numFmtId="0" fontId="8" fillId="8" borderId="0" xfId="0" applyFont="1" applyFill="1" applyAlignment="1">
      <alignment horizontal="left" vertical="center" indent="1"/>
    </xf>
    <xf numFmtId="164" fontId="8" fillId="8" borderId="0" xfId="0" applyNumberFormat="1" applyFont="1" applyFill="1" applyAlignment="1">
      <alignment horizontal="right" vertical="center"/>
    </xf>
    <xf numFmtId="0" fontId="8" fillId="8" borderId="0" xfId="0" applyFont="1" applyFill="1" applyAlignment="1">
      <alignment horizontal="right" vertical="center"/>
    </xf>
    <xf numFmtId="0" fontId="8" fillId="11" borderId="3" xfId="0" applyFont="1" applyFill="1" applyBorder="1" applyAlignment="1">
      <alignment horizontal="center" vertical="center"/>
    </xf>
    <xf numFmtId="0" fontId="24" fillId="4" borderId="4" xfId="0" applyFont="1" applyFill="1" applyBorder="1" applyAlignment="1">
      <alignment horizontal="left" vertical="center" indent="2"/>
    </xf>
    <xf numFmtId="164" fontId="24" fillId="4" borderId="4" xfId="0" applyNumberFormat="1" applyFont="1" applyFill="1" applyBorder="1" applyAlignment="1">
      <alignment horizontal="right" vertical="center"/>
    </xf>
    <xf numFmtId="0" fontId="21" fillId="12" borderId="4" xfId="0" applyFont="1" applyFill="1" applyBorder="1" applyAlignment="1">
      <alignment horizontal="left" vertical="center" indent="2"/>
    </xf>
    <xf numFmtId="164" fontId="14" fillId="12" borderId="4" xfId="0" applyNumberFormat="1" applyFont="1" applyFill="1" applyBorder="1" applyAlignment="1">
      <alignment horizontal="right" vertical="center"/>
    </xf>
    <xf numFmtId="0" fontId="24" fillId="3" borderId="4" xfId="0" applyFont="1" applyFill="1" applyBorder="1" applyAlignment="1">
      <alignment horizontal="left" vertical="center" indent="2"/>
    </xf>
    <xf numFmtId="164" fontId="26" fillId="3" borderId="4" xfId="0" applyNumberFormat="1" applyFont="1" applyFill="1" applyBorder="1" applyAlignment="1">
      <alignment horizontal="right" vertical="center"/>
    </xf>
    <xf numFmtId="0" fontId="24" fillId="5" borderId="4" xfId="0" applyFont="1" applyFill="1" applyBorder="1" applyAlignment="1">
      <alignment horizontal="left" vertical="center" indent="2"/>
    </xf>
    <xf numFmtId="164" fontId="26" fillId="5" borderId="4" xfId="0" applyNumberFormat="1" applyFont="1" applyFill="1" applyBorder="1" applyAlignment="1">
      <alignment horizontal="right" vertical="center"/>
    </xf>
    <xf numFmtId="0" fontId="21" fillId="13" borderId="4" xfId="0" applyFont="1" applyFill="1" applyBorder="1" applyAlignment="1">
      <alignment horizontal="left" vertical="center" indent="2"/>
    </xf>
    <xf numFmtId="164" fontId="16" fillId="13" borderId="4" xfId="0" applyNumberFormat="1" applyFont="1" applyFill="1" applyBorder="1" applyAlignment="1">
      <alignment horizontal="right" vertical="center"/>
    </xf>
    <xf numFmtId="0" fontId="27" fillId="2" borderId="0" xfId="0" applyFont="1" applyFill="1" applyAlignment="1">
      <alignment horizontal="left" vertical="center" indent="2"/>
    </xf>
    <xf numFmtId="164" fontId="25" fillId="2" borderId="6" xfId="0" applyNumberFormat="1" applyFont="1" applyFill="1" applyBorder="1" applyAlignment="1">
      <alignment horizontal="right" vertical="center"/>
    </xf>
    <xf numFmtId="164" fontId="24" fillId="3" borderId="4" xfId="0" applyNumberFormat="1" applyFont="1" applyFill="1" applyBorder="1" applyAlignment="1">
      <alignment horizontal="right" vertical="center"/>
    </xf>
    <xf numFmtId="164" fontId="24" fillId="5" borderId="4" xfId="0" applyNumberFormat="1" applyFont="1" applyFill="1" applyBorder="1" applyAlignment="1">
      <alignment horizontal="right" vertical="center"/>
    </xf>
    <xf numFmtId="0" fontId="25" fillId="2" borderId="0" xfId="0" applyFont="1" applyFill="1" applyAlignment="1">
      <alignment horizontal="center" vertical="center"/>
    </xf>
    <xf numFmtId="0" fontId="8" fillId="7" borderId="0" xfId="0" applyFont="1" applyFill="1" applyAlignment="1">
      <alignment horizontal="left" vertical="center" indent="1"/>
    </xf>
    <xf numFmtId="0" fontId="8" fillId="8" borderId="0" xfId="0" applyFont="1" applyFill="1" applyAlignment="1">
      <alignment horizontal="left" vertical="center" indent="1"/>
    </xf>
    <xf numFmtId="0" fontId="8" fillId="2" borderId="0" xfId="0" applyFont="1" applyFill="1" applyAlignment="1">
      <alignment horizontal="left" vertical="center" indent="1"/>
    </xf>
    <xf numFmtId="0" fontId="23" fillId="2" borderId="0" xfId="0" applyFont="1" applyFill="1" applyAlignment="1">
      <alignment horizontal="left" vertical="center" indent="2"/>
    </xf>
    <xf numFmtId="0" fontId="8" fillId="11" borderId="0" xfId="0" applyFont="1" applyFill="1" applyAlignment="1">
      <alignment horizontal="left" vertical="center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6B1A2B"/>
      <rgbColor rgb="FF1A6B3C"/>
      <rgbColor rgb="FF000080"/>
      <rgbColor rgb="FF808000"/>
      <rgbColor rgb="FF800080"/>
      <rgbColor rgb="FF2D6B45"/>
      <rgbColor rgb="FFBFC8D9"/>
      <rgbColor rgb="FF808080"/>
      <rgbColor rgb="FF9999FF"/>
      <rgbColor rgb="FF993366"/>
      <rgbColor rgb="FFFDF3DC"/>
      <rgbColor rgb="FFEFF2F7"/>
      <rgbColor rgb="FF660066"/>
      <rgbColor rgb="FFFF8080"/>
      <rgbColor rgb="FF0066CC"/>
      <rgbColor rgb="FFD0D7E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F7F8FA"/>
      <rgbColor rgb="FFD4EDDA"/>
      <rgbColor rgb="FFFFFF99"/>
      <rgbColor rgb="FF99CCFF"/>
      <rgbColor rgb="FFFF99CC"/>
      <rgbColor rgb="FFCC99FF"/>
      <rgbColor rgb="FFFDDDE6"/>
      <rgbColor rgb="FF3366FF"/>
      <rgbColor rgb="FF33CCCC"/>
      <rgbColor rgb="FF99CC00"/>
      <rgbColor rgb="FFFFCC00"/>
      <rgbColor rgb="FFC8972B"/>
      <rgbColor rgb="FFFF6600"/>
      <rgbColor rgb="FF4A5568"/>
      <rgbColor rgb="FF969696"/>
      <rgbColor rgb="FF003366"/>
      <rgbColor rgb="FF339966"/>
      <rgbColor rgb="FF003300"/>
      <rgbColor rgb="FF333300"/>
      <rgbColor rgb="FF8B1A2B"/>
      <rgbColor rgb="FF993366"/>
      <rgbColor rgb="FF333399"/>
      <rgbColor rgb="FF1B2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1B2A4A"/>
  </sheetPr>
  <dimension ref="A1:J46"/>
  <sheetViews>
    <sheetView showGridLines="0" tabSelected="1" zoomScaleNormal="100" workbookViewId="0">
      <pane ySplit="8" topLeftCell="A9" activePane="bottomLeft" state="frozen"/>
      <selection pane="bottomLeft" activeCell="A46" sqref="A46:J46"/>
    </sheetView>
  </sheetViews>
  <sheetFormatPr baseColWidth="10" defaultColWidth="8.7109375" defaultRowHeight="15" x14ac:dyDescent="0.25"/>
  <cols>
    <col min="1" max="1" width="5" customWidth="1"/>
    <col min="2" max="2" width="14" customWidth="1"/>
    <col min="3" max="3" width="10" customWidth="1"/>
    <col min="4" max="4" width="32" customWidth="1"/>
    <col min="5" max="5" width="20" customWidth="1"/>
    <col min="6" max="7" width="14" customWidth="1"/>
    <col min="8" max="8" width="10" customWidth="1"/>
    <col min="9" max="10" width="14" customWidth="1"/>
    <col min="11" max="11" width="5" customWidth="1"/>
  </cols>
  <sheetData>
    <row r="1" spans="1:10" ht="36" customHeight="1" x14ac:dyDescent="0.25">
      <c r="A1" s="14" t="s">
        <v>130</v>
      </c>
      <c r="B1" s="14"/>
      <c r="C1" s="14"/>
      <c r="D1" s="14"/>
      <c r="E1" s="14"/>
      <c r="F1" s="14"/>
      <c r="G1" s="14"/>
      <c r="H1" s="14"/>
      <c r="I1" s="14"/>
      <c r="J1" s="14"/>
    </row>
    <row r="2" spans="1:10" ht="18" customHeight="1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7.5" customHeight="1" x14ac:dyDescent="0.25">
      <c r="A3" s="12"/>
      <c r="B3" s="12"/>
      <c r="C3" s="12"/>
      <c r="D3" s="12"/>
      <c r="E3" s="12"/>
      <c r="F3" s="12"/>
      <c r="G3" s="12"/>
      <c r="H3" s="12"/>
      <c r="I3" s="12"/>
      <c r="J3" s="12"/>
    </row>
    <row r="4" spans="1:10" ht="13.5" customHeight="1" x14ac:dyDescent="0.25">
      <c r="B4" s="11" t="s">
        <v>1</v>
      </c>
      <c r="C4" s="11"/>
      <c r="D4" s="11" t="s">
        <v>2</v>
      </c>
      <c r="E4" s="11"/>
      <c r="F4" s="11" t="s">
        <v>3</v>
      </c>
      <c r="G4" s="11"/>
      <c r="H4" s="11" t="s">
        <v>4</v>
      </c>
      <c r="I4" s="11"/>
      <c r="J4" s="11"/>
    </row>
    <row r="5" spans="1:10" ht="27.75" customHeight="1" x14ac:dyDescent="0.25">
      <c r="B5" s="10">
        <f>SUMIF(F9:F500,"Einnahme",J9:J500)</f>
        <v>29927.3</v>
      </c>
      <c r="C5" s="10"/>
      <c r="D5" s="9">
        <f>SUMIF(F9:F500,"Ausgabe",J9:J500)</f>
        <v>7685.4970000000003</v>
      </c>
      <c r="E5" s="9"/>
      <c r="F5" s="8">
        <f>B5-D5</f>
        <v>22241.803</v>
      </c>
      <c r="G5" s="8"/>
      <c r="H5" s="7">
        <f>COUNTA(B9:B500)</f>
        <v>20</v>
      </c>
      <c r="I5" s="7"/>
      <c r="J5" s="7"/>
    </row>
    <row r="6" spans="1:10" ht="9.75" customHeight="1" x14ac:dyDescent="0.25">
      <c r="B6" s="15"/>
      <c r="C6" s="15"/>
      <c r="D6" s="15"/>
      <c r="E6" s="15"/>
      <c r="F6" s="15"/>
      <c r="G6" s="15"/>
      <c r="H6" s="15"/>
      <c r="I6" s="15"/>
      <c r="J6" s="15"/>
    </row>
    <row r="7" spans="1:10" ht="6" customHeight="1" x14ac:dyDescent="0.25"/>
    <row r="8" spans="1:10" ht="25.5" customHeight="1" x14ac:dyDescent="0.25">
      <c r="A8" s="16" t="s">
        <v>5</v>
      </c>
      <c r="B8" s="16" t="s">
        <v>6</v>
      </c>
      <c r="C8" s="16" t="s">
        <v>7</v>
      </c>
      <c r="D8" s="16" t="s">
        <v>8</v>
      </c>
      <c r="E8" s="16" t="s">
        <v>9</v>
      </c>
      <c r="F8" s="16" t="s">
        <v>10</v>
      </c>
      <c r="G8" s="16" t="s">
        <v>11</v>
      </c>
      <c r="H8" s="16" t="s">
        <v>12</v>
      </c>
      <c r="I8" s="16" t="s">
        <v>13</v>
      </c>
      <c r="J8" s="16" t="s">
        <v>14</v>
      </c>
    </row>
    <row r="9" spans="1:10" ht="18.75" customHeight="1" x14ac:dyDescent="0.25">
      <c r="A9" s="17">
        <v>1</v>
      </c>
      <c r="B9" s="18">
        <v>46025</v>
      </c>
      <c r="C9" s="19" t="s">
        <v>15</v>
      </c>
      <c r="D9" s="20" t="s">
        <v>16</v>
      </c>
      <c r="E9" s="19" t="s">
        <v>17</v>
      </c>
      <c r="F9" s="21" t="s">
        <v>18</v>
      </c>
      <c r="G9" s="22">
        <v>4200</v>
      </c>
      <c r="H9" s="23">
        <v>0.19</v>
      </c>
      <c r="I9" s="24">
        <f t="shared" ref="I9:I28" si="0">G9*H9</f>
        <v>798</v>
      </c>
      <c r="J9" s="25">
        <f t="shared" ref="J9:J28" si="1">G9+I9</f>
        <v>4998</v>
      </c>
    </row>
    <row r="10" spans="1:10" ht="18.75" customHeight="1" x14ac:dyDescent="0.25">
      <c r="A10" s="17">
        <v>2</v>
      </c>
      <c r="B10" s="18">
        <v>46030</v>
      </c>
      <c r="C10" s="19" t="s">
        <v>19</v>
      </c>
      <c r="D10" s="20" t="s">
        <v>20</v>
      </c>
      <c r="E10" s="19" t="s">
        <v>17</v>
      </c>
      <c r="F10" s="21" t="s">
        <v>18</v>
      </c>
      <c r="G10" s="22">
        <v>1800</v>
      </c>
      <c r="H10" s="23">
        <v>0.19</v>
      </c>
      <c r="I10" s="24">
        <f t="shared" si="0"/>
        <v>342</v>
      </c>
      <c r="J10" s="25">
        <f t="shared" si="1"/>
        <v>2142</v>
      </c>
    </row>
    <row r="11" spans="1:10" ht="18.75" customHeight="1" x14ac:dyDescent="0.25">
      <c r="A11" s="17">
        <v>3</v>
      </c>
      <c r="B11" s="26">
        <v>46034</v>
      </c>
      <c r="C11" s="27" t="s">
        <v>21</v>
      </c>
      <c r="D11" s="28" t="s">
        <v>22</v>
      </c>
      <c r="E11" s="27" t="s">
        <v>23</v>
      </c>
      <c r="F11" s="29" t="s">
        <v>24</v>
      </c>
      <c r="G11" s="30">
        <v>950</v>
      </c>
      <c r="H11" s="31">
        <v>0.19</v>
      </c>
      <c r="I11" s="32">
        <f t="shared" si="0"/>
        <v>180.5</v>
      </c>
      <c r="J11" s="33">
        <f t="shared" si="1"/>
        <v>1130.5</v>
      </c>
    </row>
    <row r="12" spans="1:10" ht="18.75" customHeight="1" x14ac:dyDescent="0.25">
      <c r="A12" s="17">
        <v>4</v>
      </c>
      <c r="B12" s="34">
        <v>46037</v>
      </c>
      <c r="C12" s="35" t="s">
        <v>25</v>
      </c>
      <c r="D12" s="36" t="s">
        <v>26</v>
      </c>
      <c r="E12" s="35" t="s">
        <v>27</v>
      </c>
      <c r="F12" s="37" t="s">
        <v>24</v>
      </c>
      <c r="G12" s="38">
        <v>89</v>
      </c>
      <c r="H12" s="39">
        <v>0.19</v>
      </c>
      <c r="I12" s="40">
        <f t="shared" si="0"/>
        <v>16.91</v>
      </c>
      <c r="J12" s="41">
        <f t="shared" si="1"/>
        <v>105.91</v>
      </c>
    </row>
    <row r="13" spans="1:10" ht="18.75" customHeight="1" x14ac:dyDescent="0.25">
      <c r="A13" s="17">
        <v>5</v>
      </c>
      <c r="B13" s="18">
        <v>46040</v>
      </c>
      <c r="C13" s="19" t="s">
        <v>28</v>
      </c>
      <c r="D13" s="20" t="s">
        <v>29</v>
      </c>
      <c r="E13" s="19" t="s">
        <v>30</v>
      </c>
      <c r="F13" s="21" t="s">
        <v>18</v>
      </c>
      <c r="G13" s="22">
        <v>3100</v>
      </c>
      <c r="H13" s="23">
        <v>0.19</v>
      </c>
      <c r="I13" s="24">
        <f t="shared" si="0"/>
        <v>589</v>
      </c>
      <c r="J13" s="25">
        <f t="shared" si="1"/>
        <v>3689</v>
      </c>
    </row>
    <row r="14" spans="1:10" ht="18.75" customHeight="1" x14ac:dyDescent="0.25">
      <c r="A14" s="17">
        <v>6</v>
      </c>
      <c r="B14" s="34">
        <v>46044</v>
      </c>
      <c r="C14" s="35" t="s">
        <v>31</v>
      </c>
      <c r="D14" s="36" t="s">
        <v>32</v>
      </c>
      <c r="E14" s="35" t="s">
        <v>33</v>
      </c>
      <c r="F14" s="37" t="s">
        <v>24</v>
      </c>
      <c r="G14" s="38">
        <v>134.5</v>
      </c>
      <c r="H14" s="39">
        <v>0.19</v>
      </c>
      <c r="I14" s="40">
        <f t="shared" si="0"/>
        <v>25.555</v>
      </c>
      <c r="J14" s="41">
        <f t="shared" si="1"/>
        <v>160.05500000000001</v>
      </c>
    </row>
    <row r="15" spans="1:10" ht="18.75" customHeight="1" x14ac:dyDescent="0.25">
      <c r="A15" s="17">
        <v>7</v>
      </c>
      <c r="B15" s="26">
        <v>46047</v>
      </c>
      <c r="C15" s="27" t="s">
        <v>34</v>
      </c>
      <c r="D15" s="28" t="s">
        <v>35</v>
      </c>
      <c r="E15" s="27" t="s">
        <v>36</v>
      </c>
      <c r="F15" s="29" t="s">
        <v>24</v>
      </c>
      <c r="G15" s="30">
        <v>480</v>
      </c>
      <c r="H15" s="31">
        <v>0.19</v>
      </c>
      <c r="I15" s="32">
        <f t="shared" si="0"/>
        <v>91.2</v>
      </c>
      <c r="J15" s="33">
        <f t="shared" si="1"/>
        <v>571.20000000000005</v>
      </c>
    </row>
    <row r="16" spans="1:10" ht="18.75" customHeight="1" x14ac:dyDescent="0.25">
      <c r="A16" s="17">
        <v>8</v>
      </c>
      <c r="B16" s="18">
        <v>46050</v>
      </c>
      <c r="C16" s="19" t="s">
        <v>37</v>
      </c>
      <c r="D16" s="20" t="s">
        <v>38</v>
      </c>
      <c r="E16" s="19" t="s">
        <v>17</v>
      </c>
      <c r="F16" s="21" t="s">
        <v>18</v>
      </c>
      <c r="G16" s="22">
        <v>620</v>
      </c>
      <c r="H16" s="23">
        <v>0.19</v>
      </c>
      <c r="I16" s="24">
        <f t="shared" si="0"/>
        <v>117.8</v>
      </c>
      <c r="J16" s="25">
        <f t="shared" si="1"/>
        <v>737.8</v>
      </c>
    </row>
    <row r="17" spans="1:10" ht="18.75" customHeight="1" x14ac:dyDescent="0.25">
      <c r="A17" s="17">
        <v>9</v>
      </c>
      <c r="B17" s="18">
        <v>46058</v>
      </c>
      <c r="C17" s="19" t="s">
        <v>39</v>
      </c>
      <c r="D17" s="20" t="s">
        <v>40</v>
      </c>
      <c r="E17" s="19" t="s">
        <v>41</v>
      </c>
      <c r="F17" s="21" t="s">
        <v>18</v>
      </c>
      <c r="G17" s="22">
        <v>2500</v>
      </c>
      <c r="H17" s="23">
        <v>0.19</v>
      </c>
      <c r="I17" s="24">
        <f t="shared" si="0"/>
        <v>475</v>
      </c>
      <c r="J17" s="25">
        <f t="shared" si="1"/>
        <v>2975</v>
      </c>
    </row>
    <row r="18" spans="1:10" ht="18.75" customHeight="1" x14ac:dyDescent="0.25">
      <c r="A18" s="17">
        <v>10</v>
      </c>
      <c r="B18" s="34">
        <v>46060</v>
      </c>
      <c r="C18" s="35" t="s">
        <v>42</v>
      </c>
      <c r="D18" s="36" t="s">
        <v>43</v>
      </c>
      <c r="E18" s="35" t="s">
        <v>23</v>
      </c>
      <c r="F18" s="37" t="s">
        <v>24</v>
      </c>
      <c r="G18" s="38">
        <v>950</v>
      </c>
      <c r="H18" s="39">
        <v>0.19</v>
      </c>
      <c r="I18" s="40">
        <f t="shared" si="0"/>
        <v>180.5</v>
      </c>
      <c r="J18" s="41">
        <f t="shared" si="1"/>
        <v>1130.5</v>
      </c>
    </row>
    <row r="19" spans="1:10" ht="18.75" customHeight="1" x14ac:dyDescent="0.25">
      <c r="A19" s="17">
        <v>11</v>
      </c>
      <c r="B19" s="26">
        <v>46065</v>
      </c>
      <c r="C19" s="27" t="s">
        <v>44</v>
      </c>
      <c r="D19" s="28" t="s">
        <v>45</v>
      </c>
      <c r="E19" s="27" t="s">
        <v>46</v>
      </c>
      <c r="F19" s="29" t="s">
        <v>24</v>
      </c>
      <c r="G19" s="30">
        <v>312.8</v>
      </c>
      <c r="H19" s="31">
        <v>0.19</v>
      </c>
      <c r="I19" s="32">
        <f t="shared" si="0"/>
        <v>59.432000000000002</v>
      </c>
      <c r="J19" s="33">
        <f t="shared" si="1"/>
        <v>372.23200000000003</v>
      </c>
    </row>
    <row r="20" spans="1:10" ht="18.75" customHeight="1" x14ac:dyDescent="0.25">
      <c r="A20" s="17">
        <v>12</v>
      </c>
      <c r="B20" s="18">
        <v>46067</v>
      </c>
      <c r="C20" s="19" t="s">
        <v>47</v>
      </c>
      <c r="D20" s="20" t="s">
        <v>48</v>
      </c>
      <c r="E20" s="19" t="s">
        <v>17</v>
      </c>
      <c r="F20" s="21" t="s">
        <v>18</v>
      </c>
      <c r="G20" s="22">
        <v>3600</v>
      </c>
      <c r="H20" s="23">
        <v>0.19</v>
      </c>
      <c r="I20" s="24">
        <f t="shared" si="0"/>
        <v>684</v>
      </c>
      <c r="J20" s="25">
        <f t="shared" si="1"/>
        <v>4284</v>
      </c>
    </row>
    <row r="21" spans="1:10" ht="18.75" customHeight="1" x14ac:dyDescent="0.25">
      <c r="A21" s="17">
        <v>13</v>
      </c>
      <c r="B21" s="26">
        <v>46072</v>
      </c>
      <c r="C21" s="27" t="s">
        <v>49</v>
      </c>
      <c r="D21" s="28" t="s">
        <v>50</v>
      </c>
      <c r="E21" s="27" t="s">
        <v>51</v>
      </c>
      <c r="F21" s="29" t="s">
        <v>24</v>
      </c>
      <c r="G21" s="30">
        <v>750</v>
      </c>
      <c r="H21" s="31">
        <v>0.19</v>
      </c>
      <c r="I21" s="32">
        <f t="shared" si="0"/>
        <v>142.5</v>
      </c>
      <c r="J21" s="33">
        <f t="shared" si="1"/>
        <v>892.5</v>
      </c>
    </row>
    <row r="22" spans="1:10" ht="18.75" customHeight="1" x14ac:dyDescent="0.25">
      <c r="A22" s="17">
        <v>14</v>
      </c>
      <c r="B22" s="18">
        <v>46079</v>
      </c>
      <c r="C22" s="19" t="s">
        <v>52</v>
      </c>
      <c r="D22" s="20" t="s">
        <v>53</v>
      </c>
      <c r="E22" s="19" t="s">
        <v>30</v>
      </c>
      <c r="F22" s="21" t="s">
        <v>18</v>
      </c>
      <c r="G22" s="22">
        <v>2850</v>
      </c>
      <c r="H22" s="23">
        <v>0.19</v>
      </c>
      <c r="I22" s="24">
        <f t="shared" si="0"/>
        <v>541.5</v>
      </c>
      <c r="J22" s="25">
        <f t="shared" si="1"/>
        <v>3391.5</v>
      </c>
    </row>
    <row r="23" spans="1:10" ht="18.75" customHeight="1" x14ac:dyDescent="0.25">
      <c r="A23" s="17">
        <v>15</v>
      </c>
      <c r="B23" s="26">
        <v>46084</v>
      </c>
      <c r="C23" s="27" t="s">
        <v>54</v>
      </c>
      <c r="D23" s="28" t="s">
        <v>55</v>
      </c>
      <c r="E23" s="27" t="s">
        <v>23</v>
      </c>
      <c r="F23" s="29" t="s">
        <v>24</v>
      </c>
      <c r="G23" s="30">
        <v>950</v>
      </c>
      <c r="H23" s="31">
        <v>0.19</v>
      </c>
      <c r="I23" s="32">
        <f t="shared" si="0"/>
        <v>180.5</v>
      </c>
      <c r="J23" s="33">
        <f t="shared" si="1"/>
        <v>1130.5</v>
      </c>
    </row>
    <row r="24" spans="1:10" ht="18.75" customHeight="1" x14ac:dyDescent="0.25">
      <c r="A24" s="17">
        <v>16</v>
      </c>
      <c r="B24" s="18">
        <v>46091</v>
      </c>
      <c r="C24" s="19" t="s">
        <v>56</v>
      </c>
      <c r="D24" s="20" t="s">
        <v>57</v>
      </c>
      <c r="E24" s="19" t="s">
        <v>41</v>
      </c>
      <c r="F24" s="21" t="s">
        <v>18</v>
      </c>
      <c r="G24" s="22">
        <v>1200</v>
      </c>
      <c r="H24" s="23">
        <v>7.0000000000000007E-2</v>
      </c>
      <c r="I24" s="24">
        <f t="shared" si="0"/>
        <v>84.000000000000014</v>
      </c>
      <c r="J24" s="25">
        <f t="shared" si="1"/>
        <v>1284</v>
      </c>
    </row>
    <row r="25" spans="1:10" ht="18.75" customHeight="1" x14ac:dyDescent="0.25">
      <c r="A25" s="17">
        <v>17</v>
      </c>
      <c r="B25" s="26">
        <v>46096</v>
      </c>
      <c r="C25" s="27" t="s">
        <v>58</v>
      </c>
      <c r="D25" s="28" t="s">
        <v>59</v>
      </c>
      <c r="E25" s="27" t="s">
        <v>60</v>
      </c>
      <c r="F25" s="29" t="s">
        <v>24</v>
      </c>
      <c r="G25" s="30">
        <v>390</v>
      </c>
      <c r="H25" s="31">
        <v>0.19</v>
      </c>
      <c r="I25" s="32">
        <f t="shared" si="0"/>
        <v>74.099999999999994</v>
      </c>
      <c r="J25" s="33">
        <f t="shared" si="1"/>
        <v>464.1</v>
      </c>
    </row>
    <row r="26" spans="1:10" ht="18.75" customHeight="1" x14ac:dyDescent="0.25">
      <c r="A26" s="17">
        <v>18</v>
      </c>
      <c r="B26" s="18">
        <v>46101</v>
      </c>
      <c r="C26" s="19" t="s">
        <v>61</v>
      </c>
      <c r="D26" s="20" t="s">
        <v>62</v>
      </c>
      <c r="E26" s="19" t="s">
        <v>17</v>
      </c>
      <c r="F26" s="21" t="s">
        <v>18</v>
      </c>
      <c r="G26" s="22">
        <v>5400</v>
      </c>
      <c r="H26" s="23">
        <v>0.19</v>
      </c>
      <c r="I26" s="24">
        <f t="shared" si="0"/>
        <v>1026</v>
      </c>
      <c r="J26" s="25">
        <f t="shared" si="1"/>
        <v>6426</v>
      </c>
    </row>
    <row r="27" spans="1:10" ht="18.75" customHeight="1" x14ac:dyDescent="0.25">
      <c r="A27" s="17">
        <v>19</v>
      </c>
      <c r="B27" s="26">
        <v>46106</v>
      </c>
      <c r="C27" s="27" t="s">
        <v>63</v>
      </c>
      <c r="D27" s="28" t="s">
        <v>64</v>
      </c>
      <c r="E27" s="27" t="s">
        <v>65</v>
      </c>
      <c r="F27" s="29" t="s">
        <v>24</v>
      </c>
      <c r="G27" s="30">
        <v>528</v>
      </c>
      <c r="H27" s="31">
        <v>0</v>
      </c>
      <c r="I27" s="32">
        <f t="shared" si="0"/>
        <v>0</v>
      </c>
      <c r="J27" s="33">
        <f t="shared" si="1"/>
        <v>528</v>
      </c>
    </row>
    <row r="28" spans="1:10" ht="18.75" customHeight="1" x14ac:dyDescent="0.25">
      <c r="A28" s="17">
        <v>20</v>
      </c>
      <c r="B28" s="34">
        <v>46112</v>
      </c>
      <c r="C28" s="35" t="s">
        <v>66</v>
      </c>
      <c r="D28" s="36" t="s">
        <v>67</v>
      </c>
      <c r="E28" s="35" t="s">
        <v>68</v>
      </c>
      <c r="F28" s="37" t="s">
        <v>24</v>
      </c>
      <c r="G28" s="38">
        <v>1200</v>
      </c>
      <c r="H28" s="39">
        <v>0</v>
      </c>
      <c r="I28" s="40">
        <f t="shared" si="0"/>
        <v>0</v>
      </c>
      <c r="J28" s="41">
        <f t="shared" si="1"/>
        <v>1200</v>
      </c>
    </row>
    <row r="29" spans="1:10" ht="18.75" customHeight="1" x14ac:dyDescent="0.25">
      <c r="A29" s="42">
        <v>21</v>
      </c>
      <c r="B29" s="43"/>
      <c r="C29" s="44"/>
      <c r="D29" s="44"/>
      <c r="E29" s="44"/>
      <c r="F29" s="44"/>
      <c r="G29" s="44"/>
      <c r="H29" s="44"/>
      <c r="I29" s="32" t="str">
        <f t="shared" ref="I29:I43" si="2">IF(G29&lt;&gt;"",G29*H29,"")</f>
        <v/>
      </c>
      <c r="J29" s="45" t="str">
        <f t="shared" ref="J29:J43" si="3">IF(G29&lt;&gt;"",G29+I29,"")</f>
        <v/>
      </c>
    </row>
    <row r="30" spans="1:10" ht="18.75" customHeight="1" x14ac:dyDescent="0.25">
      <c r="A30" s="42">
        <v>22</v>
      </c>
      <c r="B30" s="46"/>
      <c r="C30" s="47"/>
      <c r="D30" s="47"/>
      <c r="E30" s="47"/>
      <c r="F30" s="47"/>
      <c r="G30" s="47"/>
      <c r="H30" s="47"/>
      <c r="I30" s="40" t="str">
        <f t="shared" si="2"/>
        <v/>
      </c>
      <c r="J30" s="48" t="str">
        <f t="shared" si="3"/>
        <v/>
      </c>
    </row>
    <row r="31" spans="1:10" ht="18.75" customHeight="1" x14ac:dyDescent="0.25">
      <c r="A31" s="42">
        <v>23</v>
      </c>
      <c r="B31" s="43"/>
      <c r="C31" s="44"/>
      <c r="D31" s="44"/>
      <c r="E31" s="44"/>
      <c r="F31" s="44"/>
      <c r="G31" s="44"/>
      <c r="H31" s="44"/>
      <c r="I31" s="32" t="str">
        <f t="shared" si="2"/>
        <v/>
      </c>
      <c r="J31" s="45" t="str">
        <f t="shared" si="3"/>
        <v/>
      </c>
    </row>
    <row r="32" spans="1:10" ht="18.75" customHeight="1" x14ac:dyDescent="0.25">
      <c r="A32" s="42">
        <v>24</v>
      </c>
      <c r="B32" s="46"/>
      <c r="C32" s="47"/>
      <c r="D32" s="47"/>
      <c r="E32" s="47"/>
      <c r="F32" s="47"/>
      <c r="G32" s="47"/>
      <c r="H32" s="47"/>
      <c r="I32" s="40" t="str">
        <f t="shared" si="2"/>
        <v/>
      </c>
      <c r="J32" s="48" t="str">
        <f t="shared" si="3"/>
        <v/>
      </c>
    </row>
    <row r="33" spans="1:10" ht="18.75" customHeight="1" x14ac:dyDescent="0.25">
      <c r="A33" s="42">
        <v>25</v>
      </c>
      <c r="B33" s="43"/>
      <c r="C33" s="44"/>
      <c r="D33" s="44"/>
      <c r="E33" s="44"/>
      <c r="F33" s="44"/>
      <c r="G33" s="44"/>
      <c r="H33" s="44"/>
      <c r="I33" s="32" t="str">
        <f t="shared" si="2"/>
        <v/>
      </c>
      <c r="J33" s="45" t="str">
        <f t="shared" si="3"/>
        <v/>
      </c>
    </row>
    <row r="34" spans="1:10" ht="18.75" customHeight="1" x14ac:dyDescent="0.25">
      <c r="A34" s="42">
        <v>26</v>
      </c>
      <c r="B34" s="46"/>
      <c r="C34" s="47"/>
      <c r="D34" s="47"/>
      <c r="E34" s="47"/>
      <c r="F34" s="47"/>
      <c r="G34" s="47"/>
      <c r="H34" s="47"/>
      <c r="I34" s="40" t="str">
        <f t="shared" si="2"/>
        <v/>
      </c>
      <c r="J34" s="48" t="str">
        <f t="shared" si="3"/>
        <v/>
      </c>
    </row>
    <row r="35" spans="1:10" ht="18.75" customHeight="1" x14ac:dyDescent="0.25">
      <c r="A35" s="42">
        <v>27</v>
      </c>
      <c r="B35" s="43"/>
      <c r="C35" s="44"/>
      <c r="D35" s="44"/>
      <c r="E35" s="44"/>
      <c r="F35" s="44"/>
      <c r="G35" s="44"/>
      <c r="H35" s="44"/>
      <c r="I35" s="32" t="str">
        <f t="shared" si="2"/>
        <v/>
      </c>
      <c r="J35" s="45" t="str">
        <f t="shared" si="3"/>
        <v/>
      </c>
    </row>
    <row r="36" spans="1:10" ht="18.75" customHeight="1" x14ac:dyDescent="0.25">
      <c r="A36" s="42">
        <v>28</v>
      </c>
      <c r="B36" s="46"/>
      <c r="C36" s="47"/>
      <c r="D36" s="47"/>
      <c r="E36" s="47"/>
      <c r="F36" s="47"/>
      <c r="G36" s="47"/>
      <c r="H36" s="47"/>
      <c r="I36" s="40" t="str">
        <f t="shared" si="2"/>
        <v/>
      </c>
      <c r="J36" s="48" t="str">
        <f t="shared" si="3"/>
        <v/>
      </c>
    </row>
    <row r="37" spans="1:10" ht="18.75" customHeight="1" x14ac:dyDescent="0.25">
      <c r="A37" s="42">
        <v>29</v>
      </c>
      <c r="B37" s="43"/>
      <c r="C37" s="44"/>
      <c r="D37" s="44"/>
      <c r="E37" s="44"/>
      <c r="F37" s="44"/>
      <c r="G37" s="44"/>
      <c r="H37" s="44"/>
      <c r="I37" s="32" t="str">
        <f t="shared" si="2"/>
        <v/>
      </c>
      <c r="J37" s="45" t="str">
        <f t="shared" si="3"/>
        <v/>
      </c>
    </row>
    <row r="38" spans="1:10" ht="18.75" customHeight="1" x14ac:dyDescent="0.25">
      <c r="A38" s="42">
        <v>30</v>
      </c>
      <c r="B38" s="46"/>
      <c r="C38" s="47"/>
      <c r="D38" s="47"/>
      <c r="E38" s="47"/>
      <c r="F38" s="47"/>
      <c r="G38" s="47"/>
      <c r="H38" s="47"/>
      <c r="I38" s="40" t="str">
        <f t="shared" si="2"/>
        <v/>
      </c>
      <c r="J38" s="48" t="str">
        <f t="shared" si="3"/>
        <v/>
      </c>
    </row>
    <row r="39" spans="1:10" ht="18.75" customHeight="1" x14ac:dyDescent="0.25">
      <c r="A39" s="42">
        <v>31</v>
      </c>
      <c r="B39" s="43"/>
      <c r="C39" s="44"/>
      <c r="D39" s="44"/>
      <c r="E39" s="44"/>
      <c r="F39" s="44"/>
      <c r="G39" s="44"/>
      <c r="H39" s="44"/>
      <c r="I39" s="32" t="str">
        <f t="shared" si="2"/>
        <v/>
      </c>
      <c r="J39" s="45" t="str">
        <f t="shared" si="3"/>
        <v/>
      </c>
    </row>
    <row r="40" spans="1:10" ht="18.75" customHeight="1" x14ac:dyDescent="0.25">
      <c r="A40" s="42">
        <v>32</v>
      </c>
      <c r="B40" s="46"/>
      <c r="C40" s="47"/>
      <c r="D40" s="47"/>
      <c r="E40" s="47"/>
      <c r="F40" s="47"/>
      <c r="G40" s="47"/>
      <c r="H40" s="47"/>
      <c r="I40" s="40" t="str">
        <f t="shared" si="2"/>
        <v/>
      </c>
      <c r="J40" s="48" t="str">
        <f t="shared" si="3"/>
        <v/>
      </c>
    </row>
    <row r="41" spans="1:10" ht="18.75" customHeight="1" x14ac:dyDescent="0.25">
      <c r="A41" s="42">
        <v>33</v>
      </c>
      <c r="B41" s="43"/>
      <c r="C41" s="44"/>
      <c r="D41" s="44"/>
      <c r="E41" s="44"/>
      <c r="F41" s="44"/>
      <c r="G41" s="44"/>
      <c r="H41" s="44"/>
      <c r="I41" s="32" t="str">
        <f t="shared" si="2"/>
        <v/>
      </c>
      <c r="J41" s="45" t="str">
        <f t="shared" si="3"/>
        <v/>
      </c>
    </row>
    <row r="42" spans="1:10" ht="18.75" customHeight="1" x14ac:dyDescent="0.25">
      <c r="A42" s="42">
        <v>34</v>
      </c>
      <c r="B42" s="46"/>
      <c r="C42" s="47"/>
      <c r="D42" s="47"/>
      <c r="E42" s="47"/>
      <c r="F42" s="47"/>
      <c r="G42" s="47"/>
      <c r="H42" s="47"/>
      <c r="I42" s="40" t="str">
        <f t="shared" si="2"/>
        <v/>
      </c>
      <c r="J42" s="48" t="str">
        <f t="shared" si="3"/>
        <v/>
      </c>
    </row>
    <row r="43" spans="1:10" ht="18.75" customHeight="1" x14ac:dyDescent="0.25">
      <c r="A43" s="42">
        <v>35</v>
      </c>
      <c r="B43" s="43"/>
      <c r="C43" s="44"/>
      <c r="D43" s="44"/>
      <c r="E43" s="44"/>
      <c r="F43" s="44"/>
      <c r="G43" s="44"/>
      <c r="H43" s="44"/>
      <c r="I43" s="32" t="str">
        <f t="shared" si="2"/>
        <v/>
      </c>
      <c r="J43" s="45" t="str">
        <f t="shared" si="3"/>
        <v/>
      </c>
    </row>
    <row r="46" spans="1:10" ht="13.5" customHeight="1" x14ac:dyDescent="0.25">
      <c r="A46" s="6" t="s">
        <v>69</v>
      </c>
      <c r="B46" s="6"/>
      <c r="C46" s="6"/>
      <c r="D46" s="6"/>
      <c r="E46" s="6"/>
      <c r="F46" s="6"/>
      <c r="G46" s="6"/>
      <c r="H46" s="6"/>
      <c r="I46" s="6"/>
      <c r="J46" s="6"/>
    </row>
  </sheetData>
  <mergeCells count="12">
    <mergeCell ref="B5:C5"/>
    <mergeCell ref="D5:E5"/>
    <mergeCell ref="F5:G5"/>
    <mergeCell ref="H5:J5"/>
    <mergeCell ref="A46:J46"/>
    <mergeCell ref="A1:J1"/>
    <mergeCell ref="A2:J2"/>
    <mergeCell ref="A3:J3"/>
    <mergeCell ref="B4:C4"/>
    <mergeCell ref="D4:E4"/>
    <mergeCell ref="F4:G4"/>
    <mergeCell ref="H4:J4"/>
  </mergeCells>
  <dataValidations count="2">
    <dataValidation type="list" allowBlank="1" showErrorMessage="1" errorTitle="Ungültiger Eintrag" error="Bitte wählen Sie 'Einnahme' oder 'Ausgabe'." sqref="F9:F43" xr:uid="{00000000-0002-0000-0000-000000000000}">
      <formula1>"Einnahme,Ausgabe"</formula1>
      <formula2>0</formula2>
    </dataValidation>
    <dataValidation type="list" allowBlank="1" sqref="E9:E43" xr:uid="{00000000-0002-0000-0000-000001000000}">
      <formula1>"Dienstleistungen,Warenverkauf,Miete &amp; Betrieb,Marketing &amp; Werbung,Personal &amp; Löhne,IT &amp; Technik,Reise &amp; Fahrtkosten,Kommunikation,Beratung &amp; Honorare,Versicherungen,Schulungen &amp; Seminare,Verwaltung,Sonstige"</formula1>
      <formula2>0</formula2>
    </dataValidation>
  </dataValidation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8972B"/>
  </sheetPr>
  <dimension ref="A1:G17"/>
  <sheetViews>
    <sheetView showGridLines="0" zoomScaleNormal="10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baseColWidth="10" defaultColWidth="8.7109375" defaultRowHeight="15" x14ac:dyDescent="0.25"/>
  <cols>
    <col min="1" max="1" width="4" customWidth="1"/>
    <col min="2" max="2" width="20" customWidth="1"/>
    <col min="3" max="7" width="16" customWidth="1"/>
  </cols>
  <sheetData>
    <row r="1" spans="1:7" ht="33.75" customHeight="1" x14ac:dyDescent="0.25">
      <c r="A1" s="5" t="s">
        <v>70</v>
      </c>
      <c r="B1" s="5"/>
      <c r="C1" s="5"/>
      <c r="D1" s="5"/>
      <c r="E1" s="5"/>
      <c r="F1" s="5"/>
      <c r="G1" s="5"/>
    </row>
    <row r="2" spans="1:7" ht="15.75" customHeight="1" x14ac:dyDescent="0.25">
      <c r="A2" s="4" t="s">
        <v>71</v>
      </c>
      <c r="B2" s="4"/>
      <c r="C2" s="4"/>
      <c r="D2" s="4"/>
      <c r="E2" s="4"/>
      <c r="F2" s="4"/>
      <c r="G2" s="4"/>
    </row>
    <row r="3" spans="1:7" ht="7.5" customHeight="1" x14ac:dyDescent="0.25">
      <c r="A3" s="12"/>
      <c r="B3" s="12"/>
      <c r="C3" s="12"/>
      <c r="D3" s="12"/>
      <c r="E3" s="12"/>
      <c r="F3" s="12"/>
      <c r="G3" s="12"/>
    </row>
    <row r="4" spans="1:7" ht="24" customHeight="1" x14ac:dyDescent="0.25">
      <c r="A4" s="49"/>
      <c r="B4" s="49" t="s">
        <v>72</v>
      </c>
      <c r="C4" s="49" t="s">
        <v>73</v>
      </c>
      <c r="D4" s="49" t="s">
        <v>74</v>
      </c>
      <c r="E4" s="49" t="s">
        <v>75</v>
      </c>
      <c r="F4" s="49" t="s">
        <v>76</v>
      </c>
      <c r="G4" s="49" t="s">
        <v>77</v>
      </c>
    </row>
    <row r="5" spans="1:7" ht="19.5" customHeight="1" x14ac:dyDescent="0.25">
      <c r="A5" s="17">
        <v>1</v>
      </c>
      <c r="B5" s="50" t="s">
        <v>78</v>
      </c>
      <c r="C5" s="51">
        <f>SUMIFS(Buchungen!J$9:J$200,Buchungen!B$9:B$200,"&gt;="&amp;DATE(2026,1,1),Buchungen!B$9:B$200,"&lt;"&amp;DATE(2026,2,1),Buchungen!F$9:F$200,"Einnahme")</f>
        <v>11566.8</v>
      </c>
      <c r="D5" s="33">
        <f>SUMIFS(Buchungen!J$9:J$200,Buchungen!B$9:B$200,"&gt;="&amp;DATE(2026,1,1),Buchungen!B$9:B$200,"&lt;"&amp;DATE(2026,2,1),Buchungen!F$9:F$200,"Ausgabe")</f>
        <v>1967.6650000000002</v>
      </c>
      <c r="E5" s="52">
        <f t="shared" ref="E5:E16" si="0">C5-D5</f>
        <v>9599.1349999999984</v>
      </c>
      <c r="F5" s="32">
        <f>SUMIFS(Buchungen!I$9:I$200,Buchungen!B$9:B$200,"&gt;="&amp;DATE(2026,1,1),Buchungen!B$9:B$200,"&lt;"&amp;DATE(2026,2,1),Buchungen!F$9:F$200,"Einnahme")</f>
        <v>1846.8</v>
      </c>
      <c r="G5" s="32">
        <f>SUMIFS(Buchungen!I$9:I$200,Buchungen!B$9:B$200,"&gt;="&amp;DATE(2026,1,1),Buchungen!B$9:B$200,"&lt;"&amp;DATE(2026,2,1),Buchungen!F$9:F$200,"Ausgabe")</f>
        <v>314.16500000000002</v>
      </c>
    </row>
    <row r="6" spans="1:7" ht="19.5" customHeight="1" x14ac:dyDescent="0.25">
      <c r="A6" s="17">
        <v>2</v>
      </c>
      <c r="B6" s="53" t="s">
        <v>79</v>
      </c>
      <c r="C6" s="54">
        <f>SUMIFS(Buchungen!J$9:J$200,Buchungen!B$9:B$200,"&gt;="&amp;DATE(2026,2,1),Buchungen!B$9:B$200,"&lt;"&amp;DATE(2026,3,1),Buchungen!F$9:F$200,"Einnahme")</f>
        <v>10650.5</v>
      </c>
      <c r="D6" s="41">
        <f>SUMIFS(Buchungen!J$9:J$200,Buchungen!B$9:B$200,"&gt;="&amp;DATE(2026,2,1),Buchungen!B$9:B$200,"&lt;"&amp;DATE(2026,3,1),Buchungen!F$9:F$200,"Ausgabe")</f>
        <v>2395.232</v>
      </c>
      <c r="E6" s="55">
        <f t="shared" si="0"/>
        <v>8255.268</v>
      </c>
      <c r="F6" s="40">
        <f>SUMIFS(Buchungen!I$9:I$200,Buchungen!B$9:B$200,"&gt;="&amp;DATE(2026,2,1),Buchungen!B$9:B$200,"&lt;"&amp;DATE(2026,3,1),Buchungen!F$9:F$200,"Einnahme")</f>
        <v>1700.5</v>
      </c>
      <c r="G6" s="40">
        <f>SUMIFS(Buchungen!I$9:I$200,Buchungen!B$9:B$200,"&gt;="&amp;DATE(2026,2,1),Buchungen!B$9:B$200,"&lt;"&amp;DATE(2026,3,1),Buchungen!F$9:F$200,"Ausgabe")</f>
        <v>382.43200000000002</v>
      </c>
    </row>
    <row r="7" spans="1:7" ht="19.5" customHeight="1" x14ac:dyDescent="0.25">
      <c r="A7" s="17">
        <v>3</v>
      </c>
      <c r="B7" s="50" t="s">
        <v>80</v>
      </c>
      <c r="C7" s="51">
        <f>SUMIFS(Buchungen!J$9:J$200,Buchungen!B$9:B$200,"&gt;="&amp;DATE(2026,3,1),Buchungen!B$9:B$200,"&lt;"&amp;DATE(2026,4,1),Buchungen!F$9:F$200,"Einnahme")</f>
        <v>7710</v>
      </c>
      <c r="D7" s="33">
        <f>SUMIFS(Buchungen!J$9:J$200,Buchungen!B$9:B$200,"&gt;="&amp;DATE(2026,3,1),Buchungen!B$9:B$200,"&lt;"&amp;DATE(2026,4,1),Buchungen!F$9:F$200,"Ausgabe")</f>
        <v>3322.6</v>
      </c>
      <c r="E7" s="52">
        <f t="shared" si="0"/>
        <v>4387.3999999999996</v>
      </c>
      <c r="F7" s="32">
        <f>SUMIFS(Buchungen!I$9:I$200,Buchungen!B$9:B$200,"&gt;="&amp;DATE(2026,3,1),Buchungen!B$9:B$200,"&lt;"&amp;DATE(2026,4,1),Buchungen!F$9:F$200,"Einnahme")</f>
        <v>1110</v>
      </c>
      <c r="G7" s="32">
        <f>SUMIFS(Buchungen!I$9:I$200,Buchungen!B$9:B$200,"&gt;="&amp;DATE(2026,3,1),Buchungen!B$9:B$200,"&lt;"&amp;DATE(2026,4,1),Buchungen!F$9:F$200,"Ausgabe")</f>
        <v>254.6</v>
      </c>
    </row>
    <row r="8" spans="1:7" ht="19.5" customHeight="1" x14ac:dyDescent="0.25">
      <c r="A8" s="17">
        <v>4</v>
      </c>
      <c r="B8" s="53" t="s">
        <v>81</v>
      </c>
      <c r="C8" s="54">
        <f>SUMIFS(Buchungen!J$9:J$200,Buchungen!B$9:B$200,"&gt;="&amp;DATE(2026,4,1),Buchungen!B$9:B$200,"&lt;"&amp;DATE(2026,5,1),Buchungen!F$9:F$200,"Einnahme")</f>
        <v>0</v>
      </c>
      <c r="D8" s="41">
        <f>SUMIFS(Buchungen!J$9:J$200,Buchungen!B$9:B$200,"&gt;="&amp;DATE(2026,4,1),Buchungen!B$9:B$200,"&lt;"&amp;DATE(2026,5,1),Buchungen!F$9:F$200,"Ausgabe")</f>
        <v>0</v>
      </c>
      <c r="E8" s="55">
        <f t="shared" si="0"/>
        <v>0</v>
      </c>
      <c r="F8" s="40">
        <f>SUMIFS(Buchungen!I$9:I$200,Buchungen!B$9:B$200,"&gt;="&amp;DATE(2026,4,1),Buchungen!B$9:B$200,"&lt;"&amp;DATE(2026,5,1),Buchungen!F$9:F$200,"Einnahme")</f>
        <v>0</v>
      </c>
      <c r="G8" s="40">
        <f>SUMIFS(Buchungen!I$9:I$200,Buchungen!B$9:B$200,"&gt;="&amp;DATE(2026,4,1),Buchungen!B$9:B$200,"&lt;"&amp;DATE(2026,5,1),Buchungen!F$9:F$200,"Ausgabe")</f>
        <v>0</v>
      </c>
    </row>
    <row r="9" spans="1:7" ht="19.5" customHeight="1" x14ac:dyDescent="0.25">
      <c r="A9" s="17">
        <v>5</v>
      </c>
      <c r="B9" s="50" t="s">
        <v>82</v>
      </c>
      <c r="C9" s="51">
        <f>SUMIFS(Buchungen!J$9:J$200,Buchungen!B$9:B$200,"&gt;="&amp;DATE(2026,5,1),Buchungen!B$9:B$200,"&lt;"&amp;DATE(2026,6,1),Buchungen!F$9:F$200,"Einnahme")</f>
        <v>0</v>
      </c>
      <c r="D9" s="33">
        <f>SUMIFS(Buchungen!J$9:J$200,Buchungen!B$9:B$200,"&gt;="&amp;DATE(2026,5,1),Buchungen!B$9:B$200,"&lt;"&amp;DATE(2026,6,1),Buchungen!F$9:F$200,"Ausgabe")</f>
        <v>0</v>
      </c>
      <c r="E9" s="52">
        <f t="shared" si="0"/>
        <v>0</v>
      </c>
      <c r="F9" s="32">
        <f>SUMIFS(Buchungen!I$9:I$200,Buchungen!B$9:B$200,"&gt;="&amp;DATE(2026,5,1),Buchungen!B$9:B$200,"&lt;"&amp;DATE(2026,6,1),Buchungen!F$9:F$200,"Einnahme")</f>
        <v>0</v>
      </c>
      <c r="G9" s="32">
        <f>SUMIFS(Buchungen!I$9:I$200,Buchungen!B$9:B$200,"&gt;="&amp;DATE(2026,5,1),Buchungen!B$9:B$200,"&lt;"&amp;DATE(2026,6,1),Buchungen!F$9:F$200,"Ausgabe")</f>
        <v>0</v>
      </c>
    </row>
    <row r="10" spans="1:7" ht="19.5" customHeight="1" x14ac:dyDescent="0.25">
      <c r="A10" s="17">
        <v>6</v>
      </c>
      <c r="B10" s="53" t="s">
        <v>83</v>
      </c>
      <c r="C10" s="54">
        <f>SUMIFS(Buchungen!J$9:J$200,Buchungen!B$9:B$200,"&gt;="&amp;DATE(2026,6,1),Buchungen!B$9:B$200,"&lt;"&amp;DATE(2026,7,1),Buchungen!F$9:F$200,"Einnahme")</f>
        <v>0</v>
      </c>
      <c r="D10" s="41">
        <f>SUMIFS(Buchungen!J$9:J$200,Buchungen!B$9:B$200,"&gt;="&amp;DATE(2026,6,1),Buchungen!B$9:B$200,"&lt;"&amp;DATE(2026,7,1),Buchungen!F$9:F$200,"Ausgabe")</f>
        <v>0</v>
      </c>
      <c r="E10" s="55">
        <f t="shared" si="0"/>
        <v>0</v>
      </c>
      <c r="F10" s="40">
        <f>SUMIFS(Buchungen!I$9:I$200,Buchungen!B$9:B$200,"&gt;="&amp;DATE(2026,6,1),Buchungen!B$9:B$200,"&lt;"&amp;DATE(2026,7,1),Buchungen!F$9:F$200,"Einnahme")</f>
        <v>0</v>
      </c>
      <c r="G10" s="40">
        <f>SUMIFS(Buchungen!I$9:I$200,Buchungen!B$9:B$200,"&gt;="&amp;DATE(2026,6,1),Buchungen!B$9:B$200,"&lt;"&amp;DATE(2026,7,1),Buchungen!F$9:F$200,"Ausgabe")</f>
        <v>0</v>
      </c>
    </row>
    <row r="11" spans="1:7" ht="19.5" customHeight="1" x14ac:dyDescent="0.25">
      <c r="A11" s="17">
        <v>7</v>
      </c>
      <c r="B11" s="50" t="s">
        <v>84</v>
      </c>
      <c r="C11" s="51">
        <f>SUMIFS(Buchungen!J$9:J$200,Buchungen!B$9:B$200,"&gt;="&amp;DATE(2026,7,1),Buchungen!B$9:B$200,"&lt;"&amp;DATE(2026,8,1),Buchungen!F$9:F$200,"Einnahme")</f>
        <v>0</v>
      </c>
      <c r="D11" s="33">
        <f>SUMIFS(Buchungen!J$9:J$200,Buchungen!B$9:B$200,"&gt;="&amp;DATE(2026,7,1),Buchungen!B$9:B$200,"&lt;"&amp;DATE(2026,8,1),Buchungen!F$9:F$200,"Ausgabe")</f>
        <v>0</v>
      </c>
      <c r="E11" s="52">
        <f t="shared" si="0"/>
        <v>0</v>
      </c>
      <c r="F11" s="32">
        <f>SUMIFS(Buchungen!I$9:I$200,Buchungen!B$9:B$200,"&gt;="&amp;DATE(2026,7,1),Buchungen!B$9:B$200,"&lt;"&amp;DATE(2026,8,1),Buchungen!F$9:F$200,"Einnahme")</f>
        <v>0</v>
      </c>
      <c r="G11" s="32">
        <f>SUMIFS(Buchungen!I$9:I$200,Buchungen!B$9:B$200,"&gt;="&amp;DATE(2026,7,1),Buchungen!B$9:B$200,"&lt;"&amp;DATE(2026,8,1),Buchungen!F$9:F$200,"Ausgabe")</f>
        <v>0</v>
      </c>
    </row>
    <row r="12" spans="1:7" ht="19.5" customHeight="1" x14ac:dyDescent="0.25">
      <c r="A12" s="17">
        <v>8</v>
      </c>
      <c r="B12" s="53" t="s">
        <v>85</v>
      </c>
      <c r="C12" s="54">
        <f>SUMIFS(Buchungen!J$9:J$200,Buchungen!B$9:B$200,"&gt;="&amp;DATE(2026,8,1),Buchungen!B$9:B$200,"&lt;"&amp;DATE(2026,9,1),Buchungen!F$9:F$200,"Einnahme")</f>
        <v>0</v>
      </c>
      <c r="D12" s="41">
        <f>SUMIFS(Buchungen!J$9:J$200,Buchungen!B$9:B$200,"&gt;="&amp;DATE(2026,8,1),Buchungen!B$9:B$200,"&lt;"&amp;DATE(2026,9,1),Buchungen!F$9:F$200,"Ausgabe")</f>
        <v>0</v>
      </c>
      <c r="E12" s="55">
        <f t="shared" si="0"/>
        <v>0</v>
      </c>
      <c r="F12" s="40">
        <f>SUMIFS(Buchungen!I$9:I$200,Buchungen!B$9:B$200,"&gt;="&amp;DATE(2026,8,1),Buchungen!B$9:B$200,"&lt;"&amp;DATE(2026,9,1),Buchungen!F$9:F$200,"Einnahme")</f>
        <v>0</v>
      </c>
      <c r="G12" s="40">
        <f>SUMIFS(Buchungen!I$9:I$200,Buchungen!B$9:B$200,"&gt;="&amp;DATE(2026,8,1),Buchungen!B$9:B$200,"&lt;"&amp;DATE(2026,9,1),Buchungen!F$9:F$200,"Ausgabe")</f>
        <v>0</v>
      </c>
    </row>
    <row r="13" spans="1:7" ht="19.5" customHeight="1" x14ac:dyDescent="0.25">
      <c r="A13" s="17">
        <v>9</v>
      </c>
      <c r="B13" s="50" t="s">
        <v>86</v>
      </c>
      <c r="C13" s="51">
        <f>SUMIFS(Buchungen!J$9:J$200,Buchungen!B$9:B$200,"&gt;="&amp;DATE(2026,9,1),Buchungen!B$9:B$200,"&lt;"&amp;DATE(2026,10,1),Buchungen!F$9:F$200,"Einnahme")</f>
        <v>0</v>
      </c>
      <c r="D13" s="33">
        <f>SUMIFS(Buchungen!J$9:J$200,Buchungen!B$9:B$200,"&gt;="&amp;DATE(2026,9,1),Buchungen!B$9:B$200,"&lt;"&amp;DATE(2026,10,1),Buchungen!F$9:F$200,"Ausgabe")</f>
        <v>0</v>
      </c>
      <c r="E13" s="52">
        <f t="shared" si="0"/>
        <v>0</v>
      </c>
      <c r="F13" s="32">
        <f>SUMIFS(Buchungen!I$9:I$200,Buchungen!B$9:B$200,"&gt;="&amp;DATE(2026,9,1),Buchungen!B$9:B$200,"&lt;"&amp;DATE(2026,10,1),Buchungen!F$9:F$200,"Einnahme")</f>
        <v>0</v>
      </c>
      <c r="G13" s="32">
        <f>SUMIFS(Buchungen!I$9:I$200,Buchungen!B$9:B$200,"&gt;="&amp;DATE(2026,9,1),Buchungen!B$9:B$200,"&lt;"&amp;DATE(2026,10,1),Buchungen!F$9:F$200,"Ausgabe")</f>
        <v>0</v>
      </c>
    </row>
    <row r="14" spans="1:7" ht="19.5" customHeight="1" x14ac:dyDescent="0.25">
      <c r="A14" s="17">
        <v>10</v>
      </c>
      <c r="B14" s="53" t="s">
        <v>87</v>
      </c>
      <c r="C14" s="54">
        <f>SUMIFS(Buchungen!J$9:J$200,Buchungen!B$9:B$200,"&gt;="&amp;DATE(2026,10,1),Buchungen!B$9:B$200,"&lt;"&amp;DATE(2026,11,1),Buchungen!F$9:F$200,"Einnahme")</f>
        <v>0</v>
      </c>
      <c r="D14" s="41">
        <f>SUMIFS(Buchungen!J$9:J$200,Buchungen!B$9:B$200,"&gt;="&amp;DATE(2026,10,1),Buchungen!B$9:B$200,"&lt;"&amp;DATE(2026,11,1),Buchungen!F$9:F$200,"Ausgabe")</f>
        <v>0</v>
      </c>
      <c r="E14" s="55">
        <f t="shared" si="0"/>
        <v>0</v>
      </c>
      <c r="F14" s="40">
        <f>SUMIFS(Buchungen!I$9:I$200,Buchungen!B$9:B$200,"&gt;="&amp;DATE(2026,10,1),Buchungen!B$9:B$200,"&lt;"&amp;DATE(2026,11,1),Buchungen!F$9:F$200,"Einnahme")</f>
        <v>0</v>
      </c>
      <c r="G14" s="40">
        <f>SUMIFS(Buchungen!I$9:I$200,Buchungen!B$9:B$200,"&gt;="&amp;DATE(2026,10,1),Buchungen!B$9:B$200,"&lt;"&amp;DATE(2026,11,1),Buchungen!F$9:F$200,"Ausgabe")</f>
        <v>0</v>
      </c>
    </row>
    <row r="15" spans="1:7" ht="19.5" customHeight="1" x14ac:dyDescent="0.25">
      <c r="A15" s="17">
        <v>11</v>
      </c>
      <c r="B15" s="50" t="s">
        <v>88</v>
      </c>
      <c r="C15" s="51">
        <f>SUMIFS(Buchungen!J$9:J$200,Buchungen!B$9:B$200,"&gt;="&amp;DATE(2026,11,1),Buchungen!B$9:B$200,"&lt;"&amp;DATE(2026,12,1),Buchungen!F$9:F$200,"Einnahme")</f>
        <v>0</v>
      </c>
      <c r="D15" s="33">
        <f>SUMIFS(Buchungen!J$9:J$200,Buchungen!B$9:B$200,"&gt;="&amp;DATE(2026,11,1),Buchungen!B$9:B$200,"&lt;"&amp;DATE(2026,12,1),Buchungen!F$9:F$200,"Ausgabe")</f>
        <v>0</v>
      </c>
      <c r="E15" s="52">
        <f t="shared" si="0"/>
        <v>0</v>
      </c>
      <c r="F15" s="32">
        <f>SUMIFS(Buchungen!I$9:I$200,Buchungen!B$9:B$200,"&gt;="&amp;DATE(2026,11,1),Buchungen!B$9:B$200,"&lt;"&amp;DATE(2026,12,1),Buchungen!F$9:F$200,"Einnahme")</f>
        <v>0</v>
      </c>
      <c r="G15" s="32">
        <f>SUMIFS(Buchungen!I$9:I$200,Buchungen!B$9:B$200,"&gt;="&amp;DATE(2026,11,1),Buchungen!B$9:B$200,"&lt;"&amp;DATE(2026,12,1),Buchungen!F$9:F$200,"Ausgabe")</f>
        <v>0</v>
      </c>
    </row>
    <row r="16" spans="1:7" ht="19.5" customHeight="1" x14ac:dyDescent="0.25">
      <c r="A16" s="17">
        <v>12</v>
      </c>
      <c r="B16" s="53" t="s">
        <v>89</v>
      </c>
      <c r="C16" s="54">
        <f>SUMIFS(Buchungen!J$9:J$200,Buchungen!B$9:B$200,"&gt;="&amp;DATE(2026,12,1),Buchungen!B$9:B$200,"&lt;"&amp;DATE(2027,1,1),Buchungen!F$9:F$200,"Einnahme")</f>
        <v>0</v>
      </c>
      <c r="D16" s="41">
        <f>SUMIFS(Buchungen!J$9:J$200,Buchungen!B$9:B$200,"&gt;="&amp;DATE(2026,12,1),Buchungen!B$9:B$200,"&lt;"&amp;DATE(2027,1,1),Buchungen!F$9:F$200,"Ausgabe")</f>
        <v>0</v>
      </c>
      <c r="E16" s="55">
        <f t="shared" si="0"/>
        <v>0</v>
      </c>
      <c r="F16" s="40">
        <f>SUMIFS(Buchungen!I$9:I$200,Buchungen!B$9:B$200,"&gt;="&amp;DATE(2026,12,1),Buchungen!B$9:B$200,"&lt;"&amp;DATE(2027,1,1),Buchungen!F$9:F$200,"Einnahme")</f>
        <v>0</v>
      </c>
      <c r="G16" s="40">
        <f>SUMIFS(Buchungen!I$9:I$200,Buchungen!B$9:B$200,"&gt;="&amp;DATE(2026,12,1),Buchungen!B$9:B$200,"&lt;"&amp;DATE(2027,1,1),Buchungen!F$9:F$200,"Ausgabe")</f>
        <v>0</v>
      </c>
    </row>
    <row r="17" spans="1:7" ht="24" customHeight="1" x14ac:dyDescent="0.25">
      <c r="A17" s="3" t="s">
        <v>90</v>
      </c>
      <c r="B17" s="3"/>
      <c r="C17" s="56">
        <f>SUM(C5:C16)</f>
        <v>29927.3</v>
      </c>
      <c r="D17" s="56">
        <f>SUM(D5:D16)</f>
        <v>7685.4969999999994</v>
      </c>
      <c r="E17" s="56">
        <f>SUM(E5:E16)</f>
        <v>22241.803</v>
      </c>
      <c r="F17" s="56">
        <f>SUM(F5:F16)</f>
        <v>4657.3</v>
      </c>
      <c r="G17" s="56">
        <f>SUM(G5:G16)</f>
        <v>951.197</v>
      </c>
    </row>
  </sheetData>
  <mergeCells count="4">
    <mergeCell ref="A1:G1"/>
    <mergeCell ref="A2:G2"/>
    <mergeCell ref="A3:G3"/>
    <mergeCell ref="A17:B17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4A5568"/>
  </sheetPr>
  <dimension ref="A1:H17"/>
  <sheetViews>
    <sheetView showGridLines="0" zoomScaleNormal="100" workbookViewId="0"/>
  </sheetViews>
  <sheetFormatPr baseColWidth="10" defaultColWidth="8.7109375" defaultRowHeight="15" x14ac:dyDescent="0.25"/>
  <cols>
    <col min="1" max="1" width="4" customWidth="1"/>
    <col min="2" max="2" width="22" customWidth="1"/>
    <col min="3" max="5" width="16" customWidth="1"/>
    <col min="6" max="6" width="22" customWidth="1"/>
    <col min="7" max="8" width="16" customWidth="1"/>
  </cols>
  <sheetData>
    <row r="1" spans="1:8" ht="33.75" customHeight="1" x14ac:dyDescent="0.25">
      <c r="A1" s="5" t="s">
        <v>91</v>
      </c>
      <c r="B1" s="5"/>
      <c r="C1" s="5"/>
      <c r="D1" s="5"/>
      <c r="E1" s="5"/>
      <c r="F1" s="5"/>
      <c r="G1" s="5"/>
      <c r="H1" s="5"/>
    </row>
    <row r="2" spans="1:8" ht="15.75" customHeight="1" x14ac:dyDescent="0.25">
      <c r="A2" s="4" t="s">
        <v>92</v>
      </c>
      <c r="B2" s="4"/>
      <c r="C2" s="4"/>
      <c r="D2" s="4"/>
      <c r="E2" s="4"/>
      <c r="F2" s="4"/>
      <c r="G2" s="4"/>
      <c r="H2" s="4"/>
    </row>
    <row r="3" spans="1:8" ht="7.5" customHeight="1" x14ac:dyDescent="0.25">
      <c r="A3" s="12"/>
      <c r="B3" s="12"/>
      <c r="C3" s="12"/>
      <c r="D3" s="12"/>
      <c r="E3" s="12"/>
      <c r="F3" s="12"/>
      <c r="G3" s="12"/>
      <c r="H3" s="12"/>
    </row>
    <row r="4" spans="1:8" ht="7.5" customHeight="1" x14ac:dyDescent="0.25"/>
    <row r="5" spans="1:8" ht="21.75" customHeight="1" x14ac:dyDescent="0.25">
      <c r="B5" s="2" t="s">
        <v>93</v>
      </c>
      <c r="C5" s="2"/>
      <c r="D5" s="2"/>
      <c r="F5" s="1" t="s">
        <v>94</v>
      </c>
      <c r="G5" s="1"/>
      <c r="H5" s="1"/>
    </row>
    <row r="6" spans="1:8" ht="19.5" customHeight="1" x14ac:dyDescent="0.25">
      <c r="B6" s="57" t="s">
        <v>9</v>
      </c>
      <c r="C6" s="57" t="s">
        <v>95</v>
      </c>
      <c r="D6" s="57" t="s">
        <v>96</v>
      </c>
      <c r="F6" s="58" t="s">
        <v>9</v>
      </c>
      <c r="G6" s="58" t="s">
        <v>97</v>
      </c>
      <c r="H6" s="58" t="s">
        <v>96</v>
      </c>
    </row>
    <row r="7" spans="1:8" ht="18.75" customHeight="1" x14ac:dyDescent="0.25">
      <c r="B7" s="59" t="s">
        <v>17</v>
      </c>
      <c r="C7" s="25">
        <f>SUMIFS(Buchungen!J$9:J$200,Buchungen!E$9:E$200,"Dienstleistungen",Buchungen!F$9:F$200,"Einnahme")</f>
        <v>18587.8</v>
      </c>
      <c r="D7" s="60">
        <f>IFERROR(C7/C11,0)</f>
        <v>0.62109846193943319</v>
      </c>
      <c r="F7" s="61" t="s">
        <v>23</v>
      </c>
      <c r="G7" s="33">
        <f>SUMIFS(Buchungen!J$9:J$200,Buchungen!E$9:E$200,"Miete &amp; Betrieb",Buchungen!F$9:F$200,"Ausgabe")</f>
        <v>3391.5</v>
      </c>
      <c r="H7" s="62">
        <f>IFERROR(G7/G17,0)</f>
        <v>0.44128570995473682</v>
      </c>
    </row>
    <row r="8" spans="1:8" ht="18.75" customHeight="1" x14ac:dyDescent="0.25">
      <c r="B8" s="63" t="s">
        <v>30</v>
      </c>
      <c r="C8" s="54">
        <f>SUMIFS(Buchungen!J$9:J$200,Buchungen!E$9:E$200,"Warenverkauf",Buchungen!F$9:F$200,"Einnahme")</f>
        <v>7080.5</v>
      </c>
      <c r="D8" s="64">
        <f>IFERROR(C8/C11,0)</f>
        <v>0.23659000310753059</v>
      </c>
      <c r="F8" s="63" t="s">
        <v>68</v>
      </c>
      <c r="G8" s="41">
        <f>SUMIFS(Buchungen!J$9:J$200,Buchungen!E$9:E$200,"Personal &amp; Löhne",Buchungen!F$9:F$200,"Ausgabe")</f>
        <v>1200</v>
      </c>
      <c r="H8" s="64">
        <f>IFERROR(G8/G17,0)</f>
        <v>0.15613824323918155</v>
      </c>
    </row>
    <row r="9" spans="1:8" ht="18.75" customHeight="1" x14ac:dyDescent="0.25">
      <c r="B9" s="59" t="s">
        <v>41</v>
      </c>
      <c r="C9" s="25">
        <f>SUMIFS(Buchungen!J$9:J$200,Buchungen!E$9:E$200,"Schulungen &amp; Seminare",Buchungen!F$9:F$200,"Einnahme")</f>
        <v>4259</v>
      </c>
      <c r="D9" s="60">
        <f>IFERROR(C9/C11,0)</f>
        <v>0.1423115349530362</v>
      </c>
      <c r="F9" s="61" t="s">
        <v>60</v>
      </c>
      <c r="G9" s="33">
        <f>SUMIFS(Buchungen!J$9:J$200,Buchungen!E$9:E$200,"IT &amp; Technik",Buchungen!F$9:F$200,"Ausgabe")</f>
        <v>464.1</v>
      </c>
      <c r="H9" s="62">
        <f>IFERROR(G9/G17,0)</f>
        <v>6.0386465572753463E-2</v>
      </c>
    </row>
    <row r="10" spans="1:8" ht="18.75" customHeight="1" x14ac:dyDescent="0.25">
      <c r="B10" s="63" t="s">
        <v>98</v>
      </c>
      <c r="C10" s="54">
        <f>SUMIFS(Buchungen!J$9:J$200,Buchungen!E$9:E$200,"Sonstige",Buchungen!F$9:F$200,"Einnahme")</f>
        <v>0</v>
      </c>
      <c r="D10" s="64">
        <f>IFERROR(C10/C11,0)</f>
        <v>0</v>
      </c>
      <c r="F10" s="63" t="s">
        <v>46</v>
      </c>
      <c r="G10" s="41">
        <f>SUMIFS(Buchungen!J$9:J$200,Buchungen!E$9:E$200,"Reise &amp; Fahrtkosten",Buchungen!F$9:F$200,"Ausgabe")</f>
        <v>372.23200000000003</v>
      </c>
      <c r="H10" s="64">
        <f>IFERROR(G10/G17,0)</f>
        <v>4.843304213117252E-2</v>
      </c>
    </row>
    <row r="11" spans="1:8" ht="18.75" customHeight="1" x14ac:dyDescent="0.25">
      <c r="B11" s="65" t="s">
        <v>99</v>
      </c>
      <c r="C11" s="66">
        <f>SUM(C7:C10)</f>
        <v>29927.3</v>
      </c>
      <c r="D11" s="67" t="str">
        <f>"100 %"</f>
        <v>100 %</v>
      </c>
      <c r="F11" s="61" t="s">
        <v>51</v>
      </c>
      <c r="G11" s="33">
        <f>SUMIFS(Buchungen!J$9:J$200,Buchungen!E$9:E$200,"Marketing &amp; Werbung",Buchungen!F$9:F$200,"Ausgabe")</f>
        <v>892.5</v>
      </c>
      <c r="H11" s="62">
        <f>IFERROR(G11/G17,0)</f>
        <v>0.11612781840914127</v>
      </c>
    </row>
    <row r="12" spans="1:8" ht="18.75" customHeight="1" x14ac:dyDescent="0.25">
      <c r="F12" s="63" t="s">
        <v>27</v>
      </c>
      <c r="G12" s="41">
        <f>SUMIFS(Buchungen!J$9:J$200,Buchungen!E$9:E$200,"Kommunikation",Buchungen!F$9:F$200,"Ausgabe")</f>
        <v>105.91</v>
      </c>
      <c r="H12" s="64">
        <f>IFERROR(G12/G17,0)</f>
        <v>1.3780501117884763E-2</v>
      </c>
    </row>
    <row r="13" spans="1:8" ht="18.75" customHeight="1" x14ac:dyDescent="0.25">
      <c r="F13" s="61" t="s">
        <v>36</v>
      </c>
      <c r="G13" s="33">
        <f>SUMIFS(Buchungen!J$9:J$200,Buchungen!E$9:E$200,"Beratung &amp; Honorare",Buchungen!F$9:F$200,"Ausgabe")</f>
        <v>571.20000000000005</v>
      </c>
      <c r="H13" s="62">
        <f>IFERROR(G13/G17,0)</f>
        <v>7.432180378185041E-2</v>
      </c>
    </row>
    <row r="14" spans="1:8" ht="18.75" customHeight="1" x14ac:dyDescent="0.25">
      <c r="F14" s="63" t="s">
        <v>65</v>
      </c>
      <c r="G14" s="41">
        <f>SUMIFS(Buchungen!J$9:J$200,Buchungen!E$9:E$200,"Versicherungen",Buchungen!F$9:F$200,"Ausgabe")</f>
        <v>528</v>
      </c>
      <c r="H14" s="64">
        <f>IFERROR(G14/G17,0)</f>
        <v>6.8700827025239872E-2</v>
      </c>
    </row>
    <row r="15" spans="1:8" ht="18.75" customHeight="1" x14ac:dyDescent="0.25">
      <c r="F15" s="61" t="s">
        <v>33</v>
      </c>
      <c r="G15" s="33">
        <f>SUMIFS(Buchungen!J$9:J$200,Buchungen!E$9:E$200,"Verwaltung",Buchungen!F$9:F$200,"Ausgabe")</f>
        <v>160.05500000000001</v>
      </c>
      <c r="H15" s="62">
        <f>IFERROR(G15/G17,0)</f>
        <v>2.0825588768039336E-2</v>
      </c>
    </row>
    <row r="16" spans="1:8" ht="18.75" customHeight="1" x14ac:dyDescent="0.25">
      <c r="F16" s="63" t="s">
        <v>98</v>
      </c>
      <c r="G16" s="41">
        <f>SUMIFS(Buchungen!J$9:J$200,Buchungen!E$9:E$200,"Sonstige",Buchungen!F$9:F$200,"Ausgabe")</f>
        <v>0</v>
      </c>
      <c r="H16" s="64">
        <f>IFERROR(G16/G17,0)</f>
        <v>0</v>
      </c>
    </row>
    <row r="17" spans="6:8" ht="21.75" customHeight="1" x14ac:dyDescent="0.25">
      <c r="F17" s="68" t="s">
        <v>99</v>
      </c>
      <c r="G17" s="69">
        <f>SUM(G7:G16)</f>
        <v>7685.4970000000003</v>
      </c>
      <c r="H17" s="70" t="str">
        <f>"100 %"</f>
        <v>100 %</v>
      </c>
    </row>
  </sheetData>
  <mergeCells count="5">
    <mergeCell ref="A1:H1"/>
    <mergeCell ref="A2:H2"/>
    <mergeCell ref="A3:H3"/>
    <mergeCell ref="B5:D5"/>
    <mergeCell ref="F5:H5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8972B"/>
  </sheetPr>
  <dimension ref="A1:E32"/>
  <sheetViews>
    <sheetView showGridLines="0" zoomScaleNormal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baseColWidth="10" defaultColWidth="8.7109375" defaultRowHeight="15" x14ac:dyDescent="0.25"/>
  <cols>
    <col min="1" max="1" width="4" customWidth="1"/>
    <col min="2" max="2" width="36" customWidth="1"/>
    <col min="3" max="4" width="20" customWidth="1"/>
    <col min="5" max="5" width="4" customWidth="1"/>
  </cols>
  <sheetData>
    <row r="1" spans="1:5" ht="33.75" customHeight="1" x14ac:dyDescent="0.25">
      <c r="A1" s="86" t="s">
        <v>100</v>
      </c>
      <c r="B1" s="86"/>
      <c r="C1" s="86"/>
      <c r="D1" s="86"/>
      <c r="E1" s="86"/>
    </row>
    <row r="2" spans="1:5" ht="15.75" customHeight="1" x14ac:dyDescent="0.25">
      <c r="A2" s="4" t="s">
        <v>101</v>
      </c>
      <c r="B2" s="4"/>
      <c r="C2" s="4"/>
      <c r="D2" s="4"/>
      <c r="E2" s="4"/>
    </row>
    <row r="3" spans="1:5" ht="7.5" customHeight="1" x14ac:dyDescent="0.25">
      <c r="A3" s="12"/>
      <c r="B3" s="12"/>
      <c r="C3" s="12"/>
      <c r="D3" s="12"/>
      <c r="E3" s="12"/>
    </row>
    <row r="4" spans="1:5" ht="7.5" customHeight="1" x14ac:dyDescent="0.25"/>
    <row r="5" spans="1:5" ht="21.75" customHeight="1" x14ac:dyDescent="0.25">
      <c r="B5" s="71" t="s">
        <v>102</v>
      </c>
      <c r="C5" s="71" t="s">
        <v>103</v>
      </c>
      <c r="D5" s="71" t="s">
        <v>104</v>
      </c>
    </row>
    <row r="6" spans="1:5" ht="19.5" customHeight="1" x14ac:dyDescent="0.25">
      <c r="B6" s="87" t="s">
        <v>105</v>
      </c>
      <c r="C6" s="87"/>
      <c r="D6" s="87"/>
    </row>
    <row r="7" spans="1:5" ht="18.75" customHeight="1" x14ac:dyDescent="0.25">
      <c r="B7" s="72" t="s">
        <v>106</v>
      </c>
      <c r="C7" s="73">
        <f>SUMIFS(Buchungen!G$9:G$200,Buchungen!E$9:E$200,"Dienstleistungen",Buchungen!F$9:F$200,"Einnahme")</f>
        <v>15620</v>
      </c>
      <c r="D7" s="73">
        <f>SUMIFS(Buchungen!J$9:J$200,Buchungen!E$9:E$200,"Dienstleistungen",Buchungen!F$9:F$200,"Einnahme")</f>
        <v>18587.8</v>
      </c>
    </row>
    <row r="8" spans="1:5" ht="18.75" customHeight="1" x14ac:dyDescent="0.25">
      <c r="B8" s="72" t="s">
        <v>107</v>
      </c>
      <c r="C8" s="73">
        <f>SUMIFS(Buchungen!G$9:G$200,Buchungen!E$9:E$200,"Warenverkauf",Buchungen!F$9:F$200,"Einnahme")</f>
        <v>5950</v>
      </c>
      <c r="D8" s="73">
        <f>SUMIFS(Buchungen!J$9:J$200,Buchungen!E$9:E$200,"Warenverkauf",Buchungen!F$9:F$200,"Einnahme")</f>
        <v>7080.5</v>
      </c>
    </row>
    <row r="9" spans="1:5" ht="18.75" customHeight="1" x14ac:dyDescent="0.25">
      <c r="B9" s="72" t="s">
        <v>108</v>
      </c>
      <c r="C9" s="73">
        <f>SUMIFS(Buchungen!G$9:G$200,Buchungen!E$9:E$200,"Schulungen &amp; Seminare",Buchungen!F$9:F$200,"Einnahme")</f>
        <v>3700</v>
      </c>
      <c r="D9" s="73">
        <f>SUMIFS(Buchungen!J$9:J$200,Buchungen!E$9:E$200,"Schulungen &amp; Seminare",Buchungen!F$9:F$200,"Einnahme")</f>
        <v>4259</v>
      </c>
    </row>
    <row r="10" spans="1:5" ht="18.75" customHeight="1" x14ac:dyDescent="0.25">
      <c r="B10" s="72" t="s">
        <v>109</v>
      </c>
      <c r="C10" s="73">
        <f>SUMIFS(Buchungen!G$9:G$200,Buchungen!F$9:F$200,"Einnahme")-C7-C8-C9</f>
        <v>0</v>
      </c>
      <c r="D10" s="73">
        <f>SUMIFS(Buchungen!J$9:J$200,Buchungen!F$9:F$200,"Einnahme")-D7-D8-D9</f>
        <v>0</v>
      </c>
    </row>
    <row r="11" spans="1:5" ht="18.75" customHeight="1" x14ac:dyDescent="0.25">
      <c r="B11" s="74" t="s">
        <v>110</v>
      </c>
      <c r="C11" s="75">
        <f>SUM(C7:C10)</f>
        <v>25270</v>
      </c>
      <c r="D11" s="75">
        <f>SUM(D7:D10)</f>
        <v>29927.3</v>
      </c>
    </row>
    <row r="12" spans="1:5" ht="7.5" customHeight="1" x14ac:dyDescent="0.25"/>
    <row r="13" spans="1:5" ht="19.5" customHeight="1" x14ac:dyDescent="0.25">
      <c r="B13" s="88" t="s">
        <v>111</v>
      </c>
      <c r="C13" s="88"/>
      <c r="D13" s="88"/>
    </row>
    <row r="14" spans="1:5" ht="18.75" customHeight="1" x14ac:dyDescent="0.25">
      <c r="B14" s="76" t="s">
        <v>112</v>
      </c>
      <c r="C14" s="77">
        <f>SUMIFS(Buchungen!G$9:G$200,Buchungen!E$9:E$200,"Miete &amp; Betrieb",Buchungen!F$9:F$200,"Ausgabe")</f>
        <v>2850</v>
      </c>
      <c r="D14" s="77">
        <f>SUMIFS(Buchungen!J$9:J$200,Buchungen!E$9:E$200,"Miete &amp; Betrieb",Buchungen!F$9:F$200,"Ausgabe")</f>
        <v>3391.5</v>
      </c>
    </row>
    <row r="15" spans="1:5" ht="18.75" customHeight="1" x14ac:dyDescent="0.25">
      <c r="B15" s="78" t="s">
        <v>113</v>
      </c>
      <c r="C15" s="79">
        <f>SUMIFS(Buchungen!G$9:G$200,Buchungen!E$9:E$200,"Personal &amp; Löhne",Buchungen!F$9:F$200,"Ausgabe")</f>
        <v>1200</v>
      </c>
      <c r="D15" s="79">
        <f>SUMIFS(Buchungen!J$9:J$200,Buchungen!E$9:E$200,"Personal &amp; Löhne",Buchungen!F$9:F$200,"Ausgabe")</f>
        <v>1200</v>
      </c>
    </row>
    <row r="16" spans="1:5" ht="18.75" customHeight="1" x14ac:dyDescent="0.25">
      <c r="B16" s="76" t="s">
        <v>114</v>
      </c>
      <c r="C16" s="77">
        <f>SUMIFS(Buchungen!G$9:G$200,Buchungen!E$9:E$200,"IT &amp; Technik",Buchungen!F$9:F$200,"Ausgabe")</f>
        <v>390</v>
      </c>
      <c r="D16" s="77">
        <f>SUMIFS(Buchungen!J$9:J$200,Buchungen!E$9:E$200,"IT &amp; Technik",Buchungen!F$9:F$200,"Ausgabe")</f>
        <v>464.1</v>
      </c>
    </row>
    <row r="17" spans="2:4" ht="18.75" customHeight="1" x14ac:dyDescent="0.25">
      <c r="B17" s="78" t="s">
        <v>115</v>
      </c>
      <c r="C17" s="79">
        <f>SUMIFS(Buchungen!G$9:G$200,Buchungen!E$9:E$200,"Reise &amp; Fahrtkosten",Buchungen!F$9:F$200,"Ausgabe")</f>
        <v>312.8</v>
      </c>
      <c r="D17" s="79">
        <f>SUMIFS(Buchungen!J$9:J$200,Buchungen!E$9:E$200,"Reise &amp; Fahrtkosten",Buchungen!F$9:F$200,"Ausgabe")</f>
        <v>372.23200000000003</v>
      </c>
    </row>
    <row r="18" spans="2:4" ht="18.75" customHeight="1" x14ac:dyDescent="0.25">
      <c r="B18" s="76" t="s">
        <v>116</v>
      </c>
      <c r="C18" s="77">
        <f>SUMIFS(Buchungen!G$9:G$200,Buchungen!E$9:E$200,"Marketing &amp; Werbung",Buchungen!F$9:F$200,"Ausgabe")</f>
        <v>750</v>
      </c>
      <c r="D18" s="77">
        <f>SUMIFS(Buchungen!J$9:J$200,Buchungen!E$9:E$200,"Marketing &amp; Werbung",Buchungen!F$9:F$200,"Ausgabe")</f>
        <v>892.5</v>
      </c>
    </row>
    <row r="19" spans="2:4" ht="18.75" customHeight="1" x14ac:dyDescent="0.25">
      <c r="B19" s="78" t="s">
        <v>117</v>
      </c>
      <c r="C19" s="79">
        <f>SUMIFS(Buchungen!G$9:G$200,Buchungen!E$9:E$200,"Kommunikation",Buchungen!F$9:F$200,"Ausgabe")</f>
        <v>89</v>
      </c>
      <c r="D19" s="79">
        <f>SUMIFS(Buchungen!J$9:J$200,Buchungen!E$9:E$200,"Kommunikation",Buchungen!F$9:F$200,"Ausgabe")</f>
        <v>105.91</v>
      </c>
    </row>
    <row r="20" spans="2:4" ht="18.75" customHeight="1" x14ac:dyDescent="0.25">
      <c r="B20" s="76" t="s">
        <v>118</v>
      </c>
      <c r="C20" s="77">
        <f>SUMIFS(Buchungen!G$9:G$200,Buchungen!E$9:E$200,"Beratung &amp; Honorare",Buchungen!F$9:F$200,"Ausgabe")</f>
        <v>480</v>
      </c>
      <c r="D20" s="77">
        <f>SUMIFS(Buchungen!J$9:J$200,Buchungen!E$9:E$200,"Beratung &amp; Honorare",Buchungen!F$9:F$200,"Ausgabe")</f>
        <v>571.20000000000005</v>
      </c>
    </row>
    <row r="21" spans="2:4" ht="18.75" customHeight="1" x14ac:dyDescent="0.25">
      <c r="B21" s="78" t="s">
        <v>119</v>
      </c>
      <c r="C21" s="79">
        <f>SUMIFS(Buchungen!G$9:G$200,Buchungen!E$9:E$200,"Versicherungen",Buchungen!F$9:F$200,"Ausgabe")</f>
        <v>528</v>
      </c>
      <c r="D21" s="79">
        <f>SUMIFS(Buchungen!J$9:J$200,Buchungen!E$9:E$200,"Versicherungen",Buchungen!F$9:F$200,"Ausgabe")</f>
        <v>528</v>
      </c>
    </row>
    <row r="22" spans="2:4" ht="18.75" customHeight="1" x14ac:dyDescent="0.25">
      <c r="B22" s="76" t="s">
        <v>120</v>
      </c>
      <c r="C22" s="77">
        <f>SUMIFS(Buchungen!G$9:G$200,Buchungen!E$9:E$200,"Verwaltung",Buchungen!F$9:F$200,"Ausgabe")</f>
        <v>134.5</v>
      </c>
      <c r="D22" s="77">
        <f>SUMIFS(Buchungen!J$9:J$200,Buchungen!E$9:E$200,"Verwaltung",Buchungen!F$9:F$200,"Ausgabe")</f>
        <v>160.05500000000001</v>
      </c>
    </row>
    <row r="23" spans="2:4" ht="18.75" customHeight="1" x14ac:dyDescent="0.25">
      <c r="B23" s="76" t="s">
        <v>121</v>
      </c>
      <c r="C23" s="77">
        <f>SUMIFS(Buchungen!G$9:G$200,Buchungen!F$9:F$200,"Ausgabe")-SUM(C14:C22)</f>
        <v>0</v>
      </c>
      <c r="D23" s="77">
        <f>SUMIFS(Buchungen!J$9:J$200,Buchungen!F$9:F$200,"Ausgabe")-SUM(D14:D22)</f>
        <v>0</v>
      </c>
    </row>
    <row r="24" spans="2:4" ht="18.75" customHeight="1" x14ac:dyDescent="0.25">
      <c r="B24" s="80" t="s">
        <v>122</v>
      </c>
      <c r="C24" s="81">
        <f>SUM(C14:C23)</f>
        <v>6734.3</v>
      </c>
      <c r="D24" s="81">
        <f>SUM(D14:D23)</f>
        <v>7685.4970000000003</v>
      </c>
    </row>
    <row r="25" spans="2:4" ht="7.5" customHeight="1" x14ac:dyDescent="0.25"/>
    <row r="26" spans="2:4" ht="19.5" customHeight="1" x14ac:dyDescent="0.25">
      <c r="B26" s="89" t="s">
        <v>123</v>
      </c>
      <c r="C26" s="89"/>
      <c r="D26" s="89"/>
    </row>
    <row r="27" spans="2:4" ht="25.5" customHeight="1" x14ac:dyDescent="0.25">
      <c r="B27" s="90" t="s">
        <v>124</v>
      </c>
      <c r="C27" s="90"/>
      <c r="D27" s="90"/>
    </row>
    <row r="28" spans="2:4" ht="21.75" customHeight="1" x14ac:dyDescent="0.25">
      <c r="B28" s="82" t="s">
        <v>125</v>
      </c>
      <c r="C28" s="83">
        <f>C11-C24</f>
        <v>18535.7</v>
      </c>
      <c r="D28" s="83">
        <f>D11-D24</f>
        <v>22241.803</v>
      </c>
    </row>
    <row r="29" spans="2:4" ht="19.5" customHeight="1" x14ac:dyDescent="0.25">
      <c r="B29" s="91" t="s">
        <v>126</v>
      </c>
      <c r="C29" s="91"/>
      <c r="D29" s="91"/>
    </row>
    <row r="30" spans="2:4" ht="18.75" customHeight="1" x14ac:dyDescent="0.25">
      <c r="B30" s="76" t="s">
        <v>127</v>
      </c>
      <c r="C30" s="84">
        <f>SUMIFS(Buchungen!I$9:I$200,Buchungen!F$9:F$200,"Einnahme")</f>
        <v>4657.3</v>
      </c>
      <c r="D30" s="84">
        <f>SUMIFS(Buchungen!I$9:I$200,Buchungen!F$9:F$200,"Einnahme")</f>
        <v>4657.3</v>
      </c>
    </row>
    <row r="31" spans="2:4" ht="18.75" customHeight="1" x14ac:dyDescent="0.25">
      <c r="B31" s="78" t="s">
        <v>128</v>
      </c>
      <c r="C31" s="85">
        <f>SUMIFS(Buchungen!I$9:I$200,Buchungen!F$9:F$200,"Ausgabe")</f>
        <v>951.197</v>
      </c>
      <c r="D31" s="85">
        <f>SUMIFS(Buchungen!I$9:I$200,Buchungen!F$9:F$200,"Ausgabe")</f>
        <v>951.197</v>
      </c>
    </row>
    <row r="32" spans="2:4" ht="18.75" customHeight="1" x14ac:dyDescent="0.25">
      <c r="B32" s="76" t="s">
        <v>129</v>
      </c>
      <c r="C32" s="84">
        <f>C30-C31</f>
        <v>3706.1030000000001</v>
      </c>
      <c r="D32" s="84">
        <f>D30-D31</f>
        <v>3706.1030000000001</v>
      </c>
    </row>
  </sheetData>
  <mergeCells count="8">
    <mergeCell ref="B26:D26"/>
    <mergeCell ref="B27:D27"/>
    <mergeCell ref="B29:D29"/>
    <mergeCell ref="A1:E1"/>
    <mergeCell ref="A2:E2"/>
    <mergeCell ref="A3:E3"/>
    <mergeCell ref="B6:D6"/>
    <mergeCell ref="B13:D13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Buchungen</vt:lpstr>
      <vt:lpstr>Monatsübersicht</vt:lpstr>
      <vt:lpstr>Kategorienanalyse</vt:lpstr>
      <vt:lpstr>Jahresabschluss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0</cp:revision>
  <dcterms:created xsi:type="dcterms:W3CDTF">2026-08-19T05:03:42Z</dcterms:created>
  <dcterms:modified xsi:type="dcterms:W3CDTF">2026-08-21T10:31:49Z</dcterms:modified>
  <dc:language>en-US</dc:language>
</cp:coreProperties>
</file>