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FA966F55-21DC-48E6-88D8-36800E0610C5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Kassenbuch" sheetId="1" r:id="rId1"/>
    <sheet name="Monatsauswert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" i="2" l="1"/>
  <c r="E32" i="2"/>
  <c r="E31" i="2"/>
  <c r="F26" i="2"/>
  <c r="E26" i="2"/>
  <c r="D26" i="2"/>
  <c r="C26" i="2"/>
  <c r="F25" i="2"/>
  <c r="F27" i="2" s="1"/>
  <c r="E25" i="2"/>
  <c r="D25" i="2"/>
  <c r="D27" i="2" s="1"/>
  <c r="D28" i="2" s="1"/>
  <c r="C25" i="2"/>
  <c r="E24" i="2"/>
  <c r="E27" i="2" s="1"/>
  <c r="C24" i="2"/>
  <c r="C27" i="2" s="1"/>
  <c r="D19" i="2"/>
  <c r="C19" i="2"/>
  <c r="E19" i="2" s="1"/>
  <c r="D18" i="2"/>
  <c r="C18" i="2"/>
  <c r="E18" i="2" s="1"/>
  <c r="D17" i="2"/>
  <c r="C17" i="2"/>
  <c r="E17" i="2" s="1"/>
  <c r="D16" i="2"/>
  <c r="F16" i="2" s="1"/>
  <c r="C16" i="2"/>
  <c r="E16" i="2" s="1"/>
  <c r="D15" i="2"/>
  <c r="C15" i="2"/>
  <c r="E15" i="2" s="1"/>
  <c r="D14" i="2"/>
  <c r="C14" i="2"/>
  <c r="E14" i="2" s="1"/>
  <c r="D13" i="2"/>
  <c r="C13" i="2"/>
  <c r="E13" i="2" s="1"/>
  <c r="D12" i="2"/>
  <c r="C12" i="2"/>
  <c r="E12" i="2" s="1"/>
  <c r="D11" i="2"/>
  <c r="C11" i="2"/>
  <c r="E11" i="2" s="1"/>
  <c r="D10" i="2"/>
  <c r="C10" i="2"/>
  <c r="E10" i="2" s="1"/>
  <c r="D9" i="2"/>
  <c r="C9" i="2"/>
  <c r="E9" i="2" s="1"/>
  <c r="D8" i="2"/>
  <c r="C8" i="2"/>
  <c r="E8" i="2" s="1"/>
  <c r="D7" i="2"/>
  <c r="D20" i="2" s="1"/>
  <c r="C7" i="2"/>
  <c r="C20" i="2" s="1"/>
  <c r="E20" i="2" s="1"/>
  <c r="I58" i="1"/>
  <c r="I57" i="1"/>
  <c r="I56" i="1"/>
  <c r="I55" i="1"/>
  <c r="E34" i="2" s="1"/>
  <c r="H54" i="1"/>
  <c r="G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12" i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11" i="1"/>
  <c r="I10" i="1"/>
  <c r="F17" i="2" l="1"/>
  <c r="F9" i="2"/>
  <c r="F18" i="2"/>
  <c r="F19" i="2"/>
  <c r="F10" i="2"/>
  <c r="F12" i="2"/>
  <c r="F13" i="2"/>
  <c r="F8" i="2"/>
  <c r="F11" i="2"/>
  <c r="F15" i="2"/>
  <c r="F14" i="2"/>
  <c r="E7" i="2"/>
  <c r="F7" i="2"/>
</calcChain>
</file>

<file path=xl/sharedStrings.xml><?xml version="1.0" encoding="utf-8"?>
<sst xmlns="http://schemas.openxmlformats.org/spreadsheetml/2006/main" count="135" uniqueCount="110">
  <si>
    <t>KASSENBUCH  ·  Laufende Aufzeichnung aller Bargeldbewegungen  ·  2026</t>
  </si>
  <si>
    <t>Lfd. Nr. · Datum · Beleg · Buchungstext · Kategorie · MwSt. · Einnahme / Ausgabe · laufender Kassenbestand</t>
  </si>
  <si>
    <t>Anfangsbestand (€):</t>
  </si>
  <si>
    <t>Monat / Jahr:</t>
  </si>
  <si>
    <t>Januar / 2026</t>
  </si>
  <si>
    <t>Kassenverantwortliche/r:</t>
  </si>
  <si>
    <t>Maria Hoffmann</t>
  </si>
  <si>
    <t>Seite:</t>
  </si>
  <si>
    <t>1</t>
  </si>
  <si>
    <t>Nr.</t>
  </si>
  <si>
    <t>Datum</t>
  </si>
  <si>
    <t>Beleg-Nr.</t>
  </si>
  <si>
    <t>Buchungstext / Beschreibung</t>
  </si>
  <si>
    <t>Kategorie</t>
  </si>
  <si>
    <t>MwSt.
(%)</t>
  </si>
  <si>
    <t>Einnahme
(Brutto €)</t>
  </si>
  <si>
    <t>Ausgabe
(Brutto €)</t>
  </si>
  <si>
    <t>Kassenbestand
(€)</t>
  </si>
  <si>
    <t>BEL-001</t>
  </si>
  <si>
    <t>Anfangsbestand Übertrag Vormonat</t>
  </si>
  <si>
    <t>Kassenübertrag</t>
  </si>
  <si>
    <t>BEL-002</t>
  </si>
  <si>
    <t>Barverkauf Waren an Endkunden</t>
  </si>
  <si>
    <t>Umsatzerlöse</t>
  </si>
  <si>
    <t>BEL-003</t>
  </si>
  <si>
    <t>Büromaterial Einkauf</t>
  </si>
  <si>
    <t>Büro &amp; Verwaltung</t>
  </si>
  <si>
    <t>BEL-004</t>
  </si>
  <si>
    <t>Barverkauf Dienstleistung</t>
  </si>
  <si>
    <t>BEL-005</t>
  </si>
  <si>
    <t>Reinigungsmittel &amp; Verbrauchsgüter</t>
  </si>
  <si>
    <t>Betriebskosten</t>
  </si>
  <si>
    <t>BEL-006</t>
  </si>
  <si>
    <t>Porto &amp; Versand (Paketdienstleister)</t>
  </si>
  <si>
    <t>Porto &amp; Versand</t>
  </si>
  <si>
    <t>BEL-007</t>
  </si>
  <si>
    <t>Barverkauf Waren Tageseinnahme</t>
  </si>
  <si>
    <t>BEL-008</t>
  </si>
  <si>
    <t>Privatentnahme Unternehmensinhaber</t>
  </si>
  <si>
    <t>Privatentnahme</t>
  </si>
  <si>
    <t>BEL-009</t>
  </si>
  <si>
    <t>Bewirtungskosten Kundengespräch</t>
  </si>
  <si>
    <t>Bewirtung</t>
  </si>
  <si>
    <t>BEL-010</t>
  </si>
  <si>
    <t>Bareinnahme Beratungshonorar</t>
  </si>
  <si>
    <t>BEL-011</t>
  </si>
  <si>
    <t>Kaffeekasse &amp; Kleinbedarf Küche</t>
  </si>
  <si>
    <t>BEL-012</t>
  </si>
  <si>
    <t>Rückerstattung Kundenzahlung</t>
  </si>
  <si>
    <t>Sonstige Einnahmen</t>
  </si>
  <si>
    <t>BEL-013</t>
  </si>
  <si>
    <t>Druckkosten Werbematerial</t>
  </si>
  <si>
    <t>Marketing</t>
  </si>
  <si>
    <t>BEL-014</t>
  </si>
  <si>
    <t>Barverkauf Tageseinnahme Woche 3</t>
  </si>
  <si>
    <t>BEL-015</t>
  </si>
  <si>
    <t>Kleinreparatur Betriebsausstattung</t>
  </si>
  <si>
    <t>Instandhaltung</t>
  </si>
  <si>
    <t>BEL-016</t>
  </si>
  <si>
    <t>Taxifahrt Kundentermin</t>
  </si>
  <si>
    <t>Reise &amp; Fahrtkosten</t>
  </si>
  <si>
    <t>BEL-017</t>
  </si>
  <si>
    <t>Trinkgelder Barpersonal (Eigenbeleg)</t>
  </si>
  <si>
    <t>Sonstige Ausgaben</t>
  </si>
  <si>
    <t>BEL-018</t>
  </si>
  <si>
    <t>Bareinnahme Messestand-Einnahmen</t>
  </si>
  <si>
    <t>BEL-019</t>
  </si>
  <si>
    <t>Blumen &amp; Dekoration Empfang</t>
  </si>
  <si>
    <t>BEL-020</t>
  </si>
  <si>
    <t>Kasseneinlage Wechselgeld Auffüllung</t>
  </si>
  <si>
    <t>Kasseneinlage</t>
  </si>
  <si>
    <t>BEL-021</t>
  </si>
  <si>
    <t>Einwegmaterial &amp; Hygieneartikel</t>
  </si>
  <si>
    <t>BEL-022</t>
  </si>
  <si>
    <t>Barverkauf Tageseinnahme</t>
  </si>
  <si>
    <t>BEL-023</t>
  </si>
  <si>
    <t>Tageszeitungen &amp; Fachzeitschriften</t>
  </si>
  <si>
    <t>BEL-024</t>
  </si>
  <si>
    <t>Monatsabschluss — letzter Buchungstag</t>
  </si>
  <si>
    <t>MONATSSUMMEN</t>
  </si>
  <si>
    <t>KASSENBESTAND (ENDBESTAND)</t>
  </si>
  <si>
    <t>Netto-Einnahmen (Brutto ÷ 1,19)</t>
  </si>
  <si>
    <t>darin enthaltene MwSt. (Einnahmen)</t>
  </si>
  <si>
    <t>Vorsteuer aus Ausgaben (abzugsfähig)</t>
  </si>
  <si>
    <t>ⓘ  Pflichtangaben: Datum · Beleg-Nr. · Buchungstext · Kategorie · MwSt.% · Betrag (Einnahme ODER Ausgabe)  |  Kassenbestand wird fortlaufend automatisch berechnet  |  Spalte F &amp; E: Dropdown-Auswahl</t>
  </si>
  <si>
    <t>⚠  Hinweis: Ein Excel-Kassenbuch ersetzt keine GoBD-konforme Kassensoftware. Für steuerliche Prüfungen empfehlen wir täglichen Ausdruck und Unterschrift sowie regelmäßige Datensicherung.</t>
  </si>
  <si>
    <t>MONATSAUSWERTUNG  ·  Kassenbuch 2026</t>
  </si>
  <si>
    <t>Automatische Auswertung: Einnahmen &amp; Ausgaben pro Kategorie · MwSt.-Aufschlüsselung · Monatssaldo</t>
  </si>
  <si>
    <t>▸  EINNAHMEN &amp; AUSGABEN NACH KATEGORIE</t>
  </si>
  <si>
    <t>Einnahmen Brutto (€)</t>
  </si>
  <si>
    <t>Ausgaben Brutto (€)</t>
  </si>
  <si>
    <t>Netto-Ergebnis (€)</t>
  </si>
  <si>
    <t>Anteil Ausgaben</t>
  </si>
  <si>
    <t>GESAMT</t>
  </si>
  <si>
    <t>▸  UMSATZSTEUER-AUFSCHLÜSSELUNG</t>
  </si>
  <si>
    <t>MwSt.-Satz</t>
  </si>
  <si>
    <t>Brutto Einnahmen (€)</t>
  </si>
  <si>
    <t>darin MwSt. (€)</t>
  </si>
  <si>
    <t>Brutto Ausgaben (€)</t>
  </si>
  <si>
    <t>Vorsteuer (€)</t>
  </si>
  <si>
    <t>0 % (steuerfrei)</t>
  </si>
  <si>
    <t>7 % (ermäßigt)</t>
  </si>
  <si>
    <t>19 % (Regelsteuersatz)</t>
  </si>
  <si>
    <t>GESAMT MwSt.</t>
  </si>
  <si>
    <t>Umsatzsteuer-Zahllast (MwSt.Einnahmen – Vorsteuer)</t>
  </si>
  <si>
    <t>▸  KASSENBESTAND ZUSAMMENFASSUNG</t>
  </si>
  <si>
    <t>Anfangsbestand (Monatsbeginn)</t>
  </si>
  <si>
    <t>Gesamt-Einnahmen (Brutto)</t>
  </si>
  <si>
    <t>Gesamt-Ausgaben (Brutto)</t>
  </si>
  <si>
    <t>Kassenbestand laufend (Endbestand)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</si>
</sst>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dd\.mm\.yyyy"/>
    <numFmt numFmtId="166" formatCode="0.0%"/>
  </numFmts>
  <fonts count="25" x14ac:knownFonts="1">
    <font>
      <sz val="11"/>
      <color theme="1"/>
      <name val="Calibri"/>
      <family val="2"/>
      <charset val="1"/>
    </font>
    <font>
      <b/>
      <sz val="16"/>
      <color rgb="FFC8A96A"/>
      <name val="Calibri"/>
      <charset val="1"/>
    </font>
    <font>
      <sz val="9"/>
      <color rgb="FFC4AFA6"/>
      <name val="Calibri"/>
      <charset val="1"/>
    </font>
    <font>
      <b/>
      <sz val="9"/>
      <color rgb="FF3A3F4B"/>
      <name val="Calibri"/>
      <charset val="1"/>
    </font>
    <font>
      <b/>
      <sz val="10"/>
      <color rgb="FF6B1A2B"/>
      <name val="Calibri"/>
      <charset val="1"/>
    </font>
    <font>
      <b/>
      <sz val="9"/>
      <color rgb="FF6B1A2B"/>
      <name val="Calibri"/>
      <charset val="1"/>
    </font>
    <font>
      <b/>
      <sz val="8"/>
      <color rgb="FFFFFEF9"/>
      <name val="Calibri"/>
      <charset val="1"/>
    </font>
    <font>
      <sz val="8"/>
      <color rgb="FFC4AFA6"/>
      <name val="Calibri"/>
      <charset val="1"/>
    </font>
    <font>
      <sz val="8"/>
      <color rgb="FF3A3F4B"/>
      <name val="Calibri"/>
      <charset val="1"/>
    </font>
    <font>
      <sz val="8"/>
      <color rgb="FF5C616E"/>
      <name val="Calibri"/>
      <charset val="1"/>
    </font>
    <font>
      <sz val="8"/>
      <color rgb="FF1A1D22"/>
      <name val="Calibri"/>
      <charset val="1"/>
    </font>
    <font>
      <sz val="9"/>
      <color rgb="FF5C616E"/>
      <name val="Calibri"/>
      <charset val="1"/>
    </font>
    <font>
      <b/>
      <sz val="9"/>
      <color rgb="FFC8A96A"/>
      <name val="Calibri"/>
      <charset val="1"/>
    </font>
    <font>
      <b/>
      <sz val="10"/>
      <color rgb="FFC8A96A"/>
      <name val="Calibri"/>
      <charset val="1"/>
    </font>
    <font>
      <b/>
      <sz val="12"/>
      <color rgb="FFC8A96A"/>
      <name val="Calibri"/>
      <charset val="1"/>
    </font>
    <font>
      <i/>
      <sz val="8"/>
      <color rgb="FFC4AFA6"/>
      <name val="Calibri"/>
      <charset val="1"/>
    </font>
    <font>
      <i/>
      <sz val="7"/>
      <color rgb="FF5C616E"/>
      <name val="Calibri"/>
      <charset val="1"/>
    </font>
    <font>
      <i/>
      <sz val="7"/>
      <color rgb="FFB45309"/>
      <name val="Calibri"/>
      <charset val="1"/>
    </font>
    <font>
      <b/>
      <sz val="15"/>
      <color rgb="FFC8A96A"/>
      <name val="Calibri"/>
      <charset val="1"/>
    </font>
    <font>
      <b/>
      <sz val="9"/>
      <color rgb="FFFFFEF9"/>
      <name val="Calibri"/>
      <charset val="1"/>
    </font>
    <font>
      <sz val="9"/>
      <color rgb="FF6B1A2B"/>
      <name val="Calibri"/>
      <charset val="1"/>
    </font>
    <font>
      <sz val="9"/>
      <color rgb="FF3A3F4B"/>
      <name val="Calibri"/>
      <charset val="1"/>
    </font>
    <font>
      <b/>
      <sz val="9"/>
      <color rgb="FF1A1D22"/>
      <name val="Calibri"/>
      <charset val="1"/>
    </font>
    <font>
      <sz val="9"/>
      <color rgb="FF1A1D22"/>
      <name val="Calibri"/>
      <charset val="1"/>
    </font>
    <font>
      <b/>
      <sz val="11"/>
      <color rgb="FFC8A96A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6B1A2B"/>
        <bgColor rgb="FF800000"/>
      </patternFill>
    </fill>
    <fill>
      <patternFill patternType="solid">
        <fgColor rgb="FFC8A96A"/>
        <bgColor rgb="FFC4AFA6"/>
      </patternFill>
    </fill>
    <fill>
      <patternFill patternType="solid">
        <fgColor rgb="FFECEAE7"/>
        <bgColor rgb="FFF5F0E8"/>
      </patternFill>
    </fill>
    <fill>
      <patternFill patternType="solid">
        <fgColor rgb="FFFEF2F2"/>
        <bgColor rgb="FFFDF8F2"/>
      </patternFill>
    </fill>
    <fill>
      <patternFill patternType="solid">
        <fgColor rgb="FF3A3F4B"/>
        <bgColor rgb="FF333399"/>
      </patternFill>
    </fill>
    <fill>
      <patternFill patternType="solid">
        <fgColor rgb="FFF5F0E8"/>
        <bgColor rgb="FFFEF2F2"/>
      </patternFill>
    </fill>
    <fill>
      <patternFill patternType="solid">
        <fgColor rgb="FFFFFEF9"/>
        <bgColor rgb="FFFFFBEB"/>
      </patternFill>
    </fill>
    <fill>
      <patternFill patternType="solid">
        <fgColor rgb="FF3A1520"/>
        <bgColor rgb="FF1A1D22"/>
      </patternFill>
    </fill>
    <fill>
      <patternFill patternType="solid">
        <fgColor rgb="FFFDF8F2"/>
        <bgColor rgb="FFFFFBEB"/>
      </patternFill>
    </fill>
    <fill>
      <patternFill patternType="solid">
        <fgColor rgb="FFFFFBEB"/>
        <bgColor rgb="FFFDF8F2"/>
      </patternFill>
    </fill>
    <fill>
      <patternFill patternType="solid">
        <fgColor rgb="FF9B3345"/>
        <bgColor rgb="FF993366"/>
      </patternFill>
    </fill>
  </fills>
  <borders count="6">
    <border>
      <left/>
      <right/>
      <top/>
      <bottom/>
      <diagonal/>
    </border>
    <border>
      <left/>
      <right/>
      <top/>
      <bottom style="thin">
        <color rgb="FFC9BFB3"/>
      </bottom>
      <diagonal/>
    </border>
    <border>
      <left/>
      <right/>
      <top/>
      <bottom style="medium">
        <color rgb="FF6B1A2B"/>
      </bottom>
      <diagonal/>
    </border>
    <border>
      <left/>
      <right/>
      <top/>
      <bottom style="medium">
        <color rgb="FFC8A96A"/>
      </bottom>
      <diagonal/>
    </border>
    <border>
      <left/>
      <right/>
      <top/>
      <bottom style="hair">
        <color rgb="FFC9BFB3"/>
      </bottom>
      <diagonal/>
    </border>
    <border>
      <left/>
      <right/>
      <top style="medium">
        <color rgb="FFC8A96A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3" fillId="8" borderId="4" xfId="0" applyFont="1" applyFill="1" applyBorder="1" applyAlignment="1">
      <alignment horizontal="left" vertical="center" indent="2"/>
    </xf>
    <xf numFmtId="0" fontId="23" fillId="7" borderId="4" xfId="0" applyFont="1" applyFill="1" applyBorder="1" applyAlignment="1">
      <alignment horizontal="left" vertical="center" indent="2"/>
    </xf>
    <xf numFmtId="0" fontId="19" fillId="6" borderId="0" xfId="0" applyFont="1" applyFill="1" applyAlignment="1">
      <alignment horizontal="left" vertical="center" indent="1"/>
    </xf>
    <xf numFmtId="0" fontId="18" fillId="2" borderId="0" xfId="0" applyFont="1" applyFill="1" applyAlignment="1">
      <alignment horizontal="center" vertical="center"/>
    </xf>
    <xf numFmtId="0" fontId="17" fillId="11" borderId="0" xfId="0" applyFont="1" applyFill="1" applyAlignment="1">
      <alignment horizontal="left" vertical="center"/>
    </xf>
    <xf numFmtId="0" fontId="16" fillId="10" borderId="0" xfId="0" applyFont="1" applyFill="1" applyAlignment="1">
      <alignment horizontal="left" vertical="center"/>
    </xf>
    <xf numFmtId="0" fontId="15" fillId="9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left" vertical="center" indent="2"/>
    </xf>
    <xf numFmtId="0" fontId="3" fillId="4" borderId="0" xfId="0" applyFont="1" applyFill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0" fillId="3" borderId="0" xfId="0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164" fontId="4" fillId="5" borderId="2" xfId="0" applyNumberFormat="1" applyFont="1" applyFill="1" applyBorder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49" fontId="4" fillId="5" borderId="2" xfId="0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0" fontId="6" fillId="6" borderId="3" xfId="0" applyFont="1" applyFill="1" applyBorder="1" applyAlignment="1">
      <alignment horizontal="center" vertical="center" wrapText="1"/>
    </xf>
    <xf numFmtId="0" fontId="0" fillId="6" borderId="0" xfId="0" applyFill="1"/>
    <xf numFmtId="0" fontId="7" fillId="2" borderId="0" xfId="0" applyFont="1" applyFill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indent="1"/>
    </xf>
    <xf numFmtId="9" fontId="9" fillId="7" borderId="4" xfId="0" applyNumberFormat="1" applyFont="1" applyFill="1" applyBorder="1" applyAlignment="1">
      <alignment horizontal="center" vertical="center"/>
    </xf>
    <xf numFmtId="164" fontId="11" fillId="7" borderId="4" xfId="0" applyNumberFormat="1" applyFont="1" applyFill="1" applyBorder="1" applyAlignment="1">
      <alignment horizontal="right" vertical="center"/>
    </xf>
    <xf numFmtId="164" fontId="5" fillId="7" borderId="4" xfId="0" applyNumberFormat="1" applyFont="1" applyFill="1" applyBorder="1" applyAlignment="1">
      <alignment horizontal="right" vertical="center"/>
    </xf>
    <xf numFmtId="0" fontId="0" fillId="7" borderId="0" xfId="0" applyFill="1"/>
    <xf numFmtId="165" fontId="8" fillId="8" borderId="4" xfId="0" applyNumberFormat="1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left" vertical="center" indent="1"/>
    </xf>
    <xf numFmtId="9" fontId="9" fillId="8" borderId="4" xfId="0" applyNumberFormat="1" applyFont="1" applyFill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right" vertical="center"/>
    </xf>
    <xf numFmtId="164" fontId="11" fillId="8" borderId="4" xfId="0" applyNumberFormat="1" applyFont="1" applyFill="1" applyBorder="1" applyAlignment="1">
      <alignment horizontal="right" vertical="center"/>
    </xf>
    <xf numFmtId="0" fontId="0" fillId="8" borderId="0" xfId="0" applyFill="1"/>
    <xf numFmtId="164" fontId="3" fillId="7" borderId="4" xfId="0" applyNumberFormat="1" applyFont="1" applyFill="1" applyBorder="1" applyAlignment="1">
      <alignment horizontal="right" vertical="center"/>
    </xf>
    <xf numFmtId="164" fontId="3" fillId="8" borderId="4" xfId="0" applyNumberFormat="1" applyFont="1" applyFill="1" applyBorder="1" applyAlignment="1">
      <alignment horizontal="right" vertical="center"/>
    </xf>
    <xf numFmtId="165" fontId="0" fillId="7" borderId="4" xfId="0" applyNumberFormat="1" applyFill="1" applyBorder="1"/>
    <xf numFmtId="0" fontId="0" fillId="7" borderId="4" xfId="0" applyFill="1" applyBorder="1"/>
    <xf numFmtId="165" fontId="0" fillId="8" borderId="4" xfId="0" applyNumberFormat="1" applyFill="1" applyBorder="1"/>
    <xf numFmtId="0" fontId="0" fillId="8" borderId="4" xfId="0" applyFill="1" applyBorder="1"/>
    <xf numFmtId="164" fontId="13" fillId="6" borderId="5" xfId="0" applyNumberFormat="1" applyFont="1" applyFill="1" applyBorder="1" applyAlignment="1">
      <alignment horizontal="right" vertical="center"/>
    </xf>
    <xf numFmtId="164" fontId="14" fillId="2" borderId="0" xfId="0" applyNumberFormat="1" applyFont="1" applyFill="1" applyAlignment="1">
      <alignment horizontal="right" vertical="center"/>
    </xf>
    <xf numFmtId="164" fontId="12" fillId="9" borderId="0" xfId="0" applyNumberFormat="1" applyFont="1" applyFill="1" applyAlignment="1">
      <alignment horizontal="right" vertical="center"/>
    </xf>
    <xf numFmtId="0" fontId="0" fillId="9" borderId="0" xfId="0" applyFill="1"/>
    <xf numFmtId="0" fontId="6" fillId="12" borderId="3" xfId="0" applyFont="1" applyFill="1" applyBorder="1" applyAlignment="1">
      <alignment horizontal="left" vertical="center" indent="1"/>
    </xf>
    <xf numFmtId="0" fontId="6" fillId="12" borderId="3" xfId="0" applyFont="1" applyFill="1" applyBorder="1" applyAlignment="1">
      <alignment horizontal="center" vertical="center"/>
    </xf>
    <xf numFmtId="0" fontId="0" fillId="12" borderId="0" xfId="0" applyFill="1"/>
    <xf numFmtId="0" fontId="10" fillId="7" borderId="4" xfId="0" applyFont="1" applyFill="1" applyBorder="1" applyAlignment="1">
      <alignment horizontal="left" vertical="center" indent="2"/>
    </xf>
    <xf numFmtId="164" fontId="20" fillId="7" borderId="4" xfId="0" applyNumberFormat="1" applyFont="1" applyFill="1" applyBorder="1" applyAlignment="1">
      <alignment horizontal="right" vertical="center"/>
    </xf>
    <xf numFmtId="164" fontId="21" fillId="7" borderId="4" xfId="0" applyNumberFormat="1" applyFont="1" applyFill="1" applyBorder="1" applyAlignment="1">
      <alignment horizontal="right" vertical="center"/>
    </xf>
    <xf numFmtId="164" fontId="22" fillId="7" borderId="4" xfId="0" applyNumberFormat="1" applyFont="1" applyFill="1" applyBorder="1" applyAlignment="1">
      <alignment horizontal="right" vertical="center"/>
    </xf>
    <xf numFmtId="166" fontId="9" fillId="7" borderId="4" xfId="0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left" vertical="center" indent="2"/>
    </xf>
    <xf numFmtId="164" fontId="20" fillId="8" borderId="4" xfId="0" applyNumberFormat="1" applyFont="1" applyFill="1" applyBorder="1" applyAlignment="1">
      <alignment horizontal="right" vertical="center"/>
    </xf>
    <xf numFmtId="164" fontId="21" fillId="8" borderId="4" xfId="0" applyNumberFormat="1" applyFont="1" applyFill="1" applyBorder="1" applyAlignment="1">
      <alignment horizontal="right" vertical="center"/>
    </xf>
    <xf numFmtId="164" fontId="22" fillId="8" borderId="4" xfId="0" applyNumberFormat="1" applyFont="1" applyFill="1" applyBorder="1" applyAlignment="1">
      <alignment horizontal="right" vertical="center"/>
    </xf>
    <xf numFmtId="166" fontId="9" fillId="8" borderId="4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left" vertical="center" indent="1"/>
    </xf>
    <xf numFmtId="0" fontId="0" fillId="6" borderId="5" xfId="0" applyFill="1" applyBorder="1"/>
    <xf numFmtId="0" fontId="12" fillId="6" borderId="0" xfId="0" applyFont="1" applyFill="1" applyAlignment="1">
      <alignment horizontal="left" vertical="center" indent="1"/>
    </xf>
    <xf numFmtId="164" fontId="12" fillId="6" borderId="5" xfId="0" applyNumberFormat="1" applyFont="1" applyFill="1" applyBorder="1" applyAlignment="1">
      <alignment horizontal="right" vertical="center"/>
    </xf>
    <xf numFmtId="164" fontId="13" fillId="9" borderId="0" xfId="0" applyNumberFormat="1" applyFont="1" applyFill="1" applyAlignment="1">
      <alignment horizontal="right" vertical="center"/>
    </xf>
    <xf numFmtId="164" fontId="24" fillId="2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EF9"/>
      <rgbColor rgb="FFFF0000"/>
      <rgbColor rgb="FF00FF00"/>
      <rgbColor rgb="FF0000FF"/>
      <rgbColor rgb="FFFFFF00"/>
      <rgbColor rgb="FFFF00FF"/>
      <rgbColor rgb="FF00FFFF"/>
      <rgbColor rgb="FF6B1A2B"/>
      <rgbColor rgb="FF008000"/>
      <rgbColor rgb="FF000080"/>
      <rgbColor rgb="FF808000"/>
      <rgbColor rgb="FF800080"/>
      <rgbColor rgb="FF008080"/>
      <rgbColor rgb="FFC9BFB3"/>
      <rgbColor rgb="FF808080"/>
      <rgbColor rgb="FF9999FF"/>
      <rgbColor rgb="FF9B3345"/>
      <rgbColor rgb="FFFFFBEB"/>
      <rgbColor rgb="FFECEAE7"/>
      <rgbColor rgb="FF3A1520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E8"/>
      <rgbColor rgb="FFFEF2F2"/>
      <rgbColor rgb="FFFDF8F2"/>
      <rgbColor rgb="FF99CCFF"/>
      <rgbColor rgb="FFFF99CC"/>
      <rgbColor rgb="FFCC99FF"/>
      <rgbColor rgb="FFC8A96A"/>
      <rgbColor rgb="FF3366FF"/>
      <rgbColor rgb="FF33CCCC"/>
      <rgbColor rgb="FF99CC00"/>
      <rgbColor rgb="FFFFCC00"/>
      <rgbColor rgb="FFFF9900"/>
      <rgbColor rgb="FFFF6600"/>
      <rgbColor rgb="FF5C616E"/>
      <rgbColor rgb="FFC4AFA6"/>
      <rgbColor rgb="FF003366"/>
      <rgbColor rgb="FF339966"/>
      <rgbColor rgb="FF003300"/>
      <rgbColor rgb="FF1A1D22"/>
      <rgbColor rgb="FFB45309"/>
      <rgbColor rgb="FF993366"/>
      <rgbColor rgb="FF333399"/>
      <rgbColor rgb="FF3A3F4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B1A2B"/>
  </sheetPr>
  <dimension ref="A1:J61"/>
  <sheetViews>
    <sheetView showGridLines="0" tabSelected="1" zoomScaleNormal="100" workbookViewId="0">
      <pane ySplit="9" topLeftCell="A10" activePane="bottomLeft" state="frozen"/>
      <selection pane="bottomLeft" activeCell="P44" sqref="P44"/>
    </sheetView>
  </sheetViews>
  <sheetFormatPr baseColWidth="10" defaultColWidth="8.7109375" defaultRowHeight="15" x14ac:dyDescent="0.25"/>
  <cols>
    <col min="1" max="1" width="3" bestFit="1" customWidth="1"/>
    <col min="2" max="2" width="8.7109375" bestFit="1" customWidth="1"/>
    <col min="3" max="3" width="7.140625" bestFit="1" customWidth="1"/>
    <col min="4" max="4" width="29.85546875" bestFit="1" customWidth="1"/>
    <col min="5" max="5" width="14.85546875" bestFit="1" customWidth="1"/>
    <col min="6" max="6" width="5.28515625" bestFit="1" customWidth="1"/>
    <col min="7" max="7" width="9.28515625" bestFit="1" customWidth="1"/>
    <col min="8" max="8" width="11.85546875" bestFit="1" customWidth="1"/>
    <col min="9" max="9" width="10.7109375" bestFit="1" customWidth="1"/>
    <col min="10" max="10" width="4" customWidth="1"/>
  </cols>
  <sheetData>
    <row r="1" spans="1:10" ht="39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7.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7.5" customHeight="1" x14ac:dyDescent="0.25"/>
    <row r="6" spans="1:10" ht="19.5" customHeight="1" x14ac:dyDescent="0.25">
      <c r="B6" s="11" t="s">
        <v>2</v>
      </c>
      <c r="C6" s="11"/>
      <c r="D6" s="11"/>
      <c r="E6" s="16">
        <v>850</v>
      </c>
      <c r="F6" s="10" t="s">
        <v>3</v>
      </c>
      <c r="G6" s="10"/>
      <c r="H6" s="17" t="s">
        <v>4</v>
      </c>
    </row>
    <row r="7" spans="1:10" ht="19.5" customHeight="1" x14ac:dyDescent="0.25">
      <c r="B7" s="11" t="s">
        <v>5</v>
      </c>
      <c r="C7" s="11"/>
      <c r="D7" s="11"/>
      <c r="E7" s="18" t="s">
        <v>6</v>
      </c>
      <c r="F7" s="10" t="s">
        <v>7</v>
      </c>
      <c r="G7" s="10"/>
      <c r="H7" s="19" t="s">
        <v>8</v>
      </c>
    </row>
    <row r="8" spans="1:10" ht="7.5" customHeight="1" x14ac:dyDescent="0.25"/>
    <row r="9" spans="1:10" ht="24" customHeight="1" x14ac:dyDescent="0.25">
      <c r="A9" s="20" t="s">
        <v>9</v>
      </c>
      <c r="B9" s="20" t="s">
        <v>10</v>
      </c>
      <c r="C9" s="20" t="s">
        <v>11</v>
      </c>
      <c r="D9" s="20" t="s">
        <v>12</v>
      </c>
      <c r="E9" s="20" t="s">
        <v>13</v>
      </c>
      <c r="F9" s="20" t="s">
        <v>14</v>
      </c>
      <c r="G9" s="20" t="s">
        <v>15</v>
      </c>
      <c r="H9" s="20" t="s">
        <v>16</v>
      </c>
      <c r="I9" s="20" t="s">
        <v>17</v>
      </c>
      <c r="J9" s="21"/>
    </row>
    <row r="10" spans="1:10" ht="16.5" customHeight="1" x14ac:dyDescent="0.25">
      <c r="A10" s="22">
        <v>1</v>
      </c>
      <c r="B10" s="23">
        <v>46024</v>
      </c>
      <c r="C10" s="24" t="s">
        <v>18</v>
      </c>
      <c r="D10" s="25" t="s">
        <v>19</v>
      </c>
      <c r="E10" s="24" t="s">
        <v>20</v>
      </c>
      <c r="F10" s="26">
        <v>0</v>
      </c>
      <c r="G10" s="27"/>
      <c r="H10" s="27"/>
      <c r="I10" s="28">
        <f>E6+IFERROR(G10,0)-IFERROR(H10,0)</f>
        <v>850</v>
      </c>
      <c r="J10" s="29"/>
    </row>
    <row r="11" spans="1:10" ht="16.5" customHeight="1" x14ac:dyDescent="0.25">
      <c r="A11" s="22">
        <v>2</v>
      </c>
      <c r="B11" s="30">
        <v>46025</v>
      </c>
      <c r="C11" s="31" t="s">
        <v>21</v>
      </c>
      <c r="D11" s="32" t="s">
        <v>22</v>
      </c>
      <c r="E11" s="31" t="s">
        <v>23</v>
      </c>
      <c r="F11" s="33">
        <v>0.19</v>
      </c>
      <c r="G11" s="34">
        <v>238</v>
      </c>
      <c r="H11" s="35"/>
      <c r="I11" s="34">
        <f t="shared" ref="I11:I33" si="0">I10+IFERROR(G11,0)-IFERROR(H11,0)</f>
        <v>1088</v>
      </c>
      <c r="J11" s="36"/>
    </row>
    <row r="12" spans="1:10" ht="16.5" customHeight="1" x14ac:dyDescent="0.25">
      <c r="A12" s="22">
        <v>3</v>
      </c>
      <c r="B12" s="23">
        <v>46027</v>
      </c>
      <c r="C12" s="24" t="s">
        <v>24</v>
      </c>
      <c r="D12" s="25" t="s">
        <v>25</v>
      </c>
      <c r="E12" s="24" t="s">
        <v>26</v>
      </c>
      <c r="F12" s="26">
        <v>0.19</v>
      </c>
      <c r="G12" s="27"/>
      <c r="H12" s="37">
        <v>59.5</v>
      </c>
      <c r="I12" s="28">
        <f t="shared" si="0"/>
        <v>1028.5</v>
      </c>
      <c r="J12" s="29"/>
    </row>
    <row r="13" spans="1:10" ht="16.5" customHeight="1" x14ac:dyDescent="0.25">
      <c r="A13" s="22">
        <v>4</v>
      </c>
      <c r="B13" s="30">
        <v>46028</v>
      </c>
      <c r="C13" s="31" t="s">
        <v>27</v>
      </c>
      <c r="D13" s="32" t="s">
        <v>28</v>
      </c>
      <c r="E13" s="31" t="s">
        <v>23</v>
      </c>
      <c r="F13" s="33">
        <v>0.19</v>
      </c>
      <c r="G13" s="34">
        <v>357</v>
      </c>
      <c r="H13" s="35"/>
      <c r="I13" s="34">
        <f t="shared" si="0"/>
        <v>1385.5</v>
      </c>
      <c r="J13" s="36"/>
    </row>
    <row r="14" spans="1:10" ht="16.5" customHeight="1" x14ac:dyDescent="0.25">
      <c r="A14" s="22">
        <v>5</v>
      </c>
      <c r="B14" s="23">
        <v>46029</v>
      </c>
      <c r="C14" s="24" t="s">
        <v>29</v>
      </c>
      <c r="D14" s="25" t="s">
        <v>30</v>
      </c>
      <c r="E14" s="24" t="s">
        <v>31</v>
      </c>
      <c r="F14" s="26">
        <v>0.19</v>
      </c>
      <c r="G14" s="27"/>
      <c r="H14" s="37">
        <v>28.9</v>
      </c>
      <c r="I14" s="28">
        <f t="shared" si="0"/>
        <v>1356.6</v>
      </c>
      <c r="J14" s="29"/>
    </row>
    <row r="15" spans="1:10" ht="16.5" customHeight="1" x14ac:dyDescent="0.25">
      <c r="A15" s="22">
        <v>6</v>
      </c>
      <c r="B15" s="30">
        <v>46030</v>
      </c>
      <c r="C15" s="31" t="s">
        <v>32</v>
      </c>
      <c r="D15" s="32" t="s">
        <v>33</v>
      </c>
      <c r="E15" s="31" t="s">
        <v>34</v>
      </c>
      <c r="F15" s="33">
        <v>0.19</v>
      </c>
      <c r="G15" s="35"/>
      <c r="H15" s="38">
        <v>18.7</v>
      </c>
      <c r="I15" s="34">
        <f t="shared" si="0"/>
        <v>1337.8999999999999</v>
      </c>
      <c r="J15" s="36"/>
    </row>
    <row r="16" spans="1:10" ht="16.5" customHeight="1" x14ac:dyDescent="0.25">
      <c r="A16" s="22">
        <v>7</v>
      </c>
      <c r="B16" s="23">
        <v>46031</v>
      </c>
      <c r="C16" s="24" t="s">
        <v>35</v>
      </c>
      <c r="D16" s="25" t="s">
        <v>36</v>
      </c>
      <c r="E16" s="24" t="s">
        <v>23</v>
      </c>
      <c r="F16" s="26">
        <v>0.19</v>
      </c>
      <c r="G16" s="28">
        <v>476</v>
      </c>
      <c r="H16" s="27"/>
      <c r="I16" s="28">
        <f t="shared" si="0"/>
        <v>1813.8999999999999</v>
      </c>
      <c r="J16" s="29"/>
    </row>
    <row r="17" spans="1:10" ht="16.5" customHeight="1" x14ac:dyDescent="0.25">
      <c r="A17" s="22">
        <v>8</v>
      </c>
      <c r="B17" s="30">
        <v>46032</v>
      </c>
      <c r="C17" s="31" t="s">
        <v>37</v>
      </c>
      <c r="D17" s="32" t="s">
        <v>38</v>
      </c>
      <c r="E17" s="31" t="s">
        <v>39</v>
      </c>
      <c r="F17" s="33">
        <v>0</v>
      </c>
      <c r="G17" s="35"/>
      <c r="H17" s="38">
        <v>200</v>
      </c>
      <c r="I17" s="34">
        <f t="shared" si="0"/>
        <v>1613.8999999999999</v>
      </c>
      <c r="J17" s="36"/>
    </row>
    <row r="18" spans="1:10" ht="16.5" customHeight="1" x14ac:dyDescent="0.25">
      <c r="A18" s="22">
        <v>9</v>
      </c>
      <c r="B18" s="23">
        <v>46034</v>
      </c>
      <c r="C18" s="24" t="s">
        <v>40</v>
      </c>
      <c r="D18" s="25" t="s">
        <v>41</v>
      </c>
      <c r="E18" s="24" t="s">
        <v>42</v>
      </c>
      <c r="F18" s="26">
        <v>0.19</v>
      </c>
      <c r="G18" s="27"/>
      <c r="H18" s="37">
        <v>64.8</v>
      </c>
      <c r="I18" s="28">
        <f t="shared" si="0"/>
        <v>1549.1</v>
      </c>
      <c r="J18" s="29"/>
    </row>
    <row r="19" spans="1:10" ht="16.5" customHeight="1" x14ac:dyDescent="0.25">
      <c r="A19" s="22">
        <v>10</v>
      </c>
      <c r="B19" s="30">
        <v>46035</v>
      </c>
      <c r="C19" s="31" t="s">
        <v>43</v>
      </c>
      <c r="D19" s="32" t="s">
        <v>44</v>
      </c>
      <c r="E19" s="31" t="s">
        <v>23</v>
      </c>
      <c r="F19" s="33">
        <v>0.19</v>
      </c>
      <c r="G19" s="34">
        <v>595</v>
      </c>
      <c r="H19" s="35"/>
      <c r="I19" s="34">
        <f t="shared" si="0"/>
        <v>2144.1</v>
      </c>
      <c r="J19" s="36"/>
    </row>
    <row r="20" spans="1:10" ht="16.5" customHeight="1" x14ac:dyDescent="0.25">
      <c r="A20" s="22">
        <v>11</v>
      </c>
      <c r="B20" s="23">
        <v>46036</v>
      </c>
      <c r="C20" s="24" t="s">
        <v>45</v>
      </c>
      <c r="D20" s="25" t="s">
        <v>46</v>
      </c>
      <c r="E20" s="24" t="s">
        <v>31</v>
      </c>
      <c r="F20" s="26">
        <v>0.19</v>
      </c>
      <c r="G20" s="27"/>
      <c r="H20" s="37">
        <v>22.4</v>
      </c>
      <c r="I20" s="28">
        <f t="shared" si="0"/>
        <v>2121.6999999999998</v>
      </c>
      <c r="J20" s="29"/>
    </row>
    <row r="21" spans="1:10" ht="16.5" customHeight="1" x14ac:dyDescent="0.25">
      <c r="A21" s="22">
        <v>12</v>
      </c>
      <c r="B21" s="30">
        <v>46037</v>
      </c>
      <c r="C21" s="31" t="s">
        <v>47</v>
      </c>
      <c r="D21" s="32" t="s">
        <v>48</v>
      </c>
      <c r="E21" s="31" t="s">
        <v>49</v>
      </c>
      <c r="F21" s="33">
        <v>0.19</v>
      </c>
      <c r="G21" s="34">
        <v>35.700000000000003</v>
      </c>
      <c r="H21" s="35"/>
      <c r="I21" s="34">
        <f t="shared" si="0"/>
        <v>2157.3999999999996</v>
      </c>
      <c r="J21" s="36"/>
    </row>
    <row r="22" spans="1:10" ht="16.5" customHeight="1" x14ac:dyDescent="0.25">
      <c r="A22" s="22">
        <v>13</v>
      </c>
      <c r="B22" s="23">
        <v>46038</v>
      </c>
      <c r="C22" s="24" t="s">
        <v>50</v>
      </c>
      <c r="D22" s="25" t="s">
        <v>51</v>
      </c>
      <c r="E22" s="24" t="s">
        <v>52</v>
      </c>
      <c r="F22" s="26">
        <v>0.19</v>
      </c>
      <c r="G22" s="27"/>
      <c r="H22" s="37">
        <v>89.25</v>
      </c>
      <c r="I22" s="28">
        <f t="shared" si="0"/>
        <v>2068.1499999999996</v>
      </c>
      <c r="J22" s="29"/>
    </row>
    <row r="23" spans="1:10" ht="16.5" customHeight="1" x14ac:dyDescent="0.25">
      <c r="A23" s="22">
        <v>14</v>
      </c>
      <c r="B23" s="30">
        <v>46041</v>
      </c>
      <c r="C23" s="31" t="s">
        <v>53</v>
      </c>
      <c r="D23" s="32" t="s">
        <v>54</v>
      </c>
      <c r="E23" s="31" t="s">
        <v>23</v>
      </c>
      <c r="F23" s="33">
        <v>0.19</v>
      </c>
      <c r="G23" s="34">
        <v>312.5</v>
      </c>
      <c r="H23" s="35"/>
      <c r="I23" s="34">
        <f t="shared" si="0"/>
        <v>2380.6499999999996</v>
      </c>
      <c r="J23" s="36"/>
    </row>
    <row r="24" spans="1:10" ht="16.5" customHeight="1" x14ac:dyDescent="0.25">
      <c r="A24" s="22">
        <v>15</v>
      </c>
      <c r="B24" s="23">
        <v>46042</v>
      </c>
      <c r="C24" s="24" t="s">
        <v>55</v>
      </c>
      <c r="D24" s="25" t="s">
        <v>56</v>
      </c>
      <c r="E24" s="24" t="s">
        <v>57</v>
      </c>
      <c r="F24" s="26">
        <v>0.19</v>
      </c>
      <c r="G24" s="27"/>
      <c r="H24" s="37">
        <v>47.6</v>
      </c>
      <c r="I24" s="28">
        <f t="shared" si="0"/>
        <v>2333.0499999999997</v>
      </c>
      <c r="J24" s="29"/>
    </row>
    <row r="25" spans="1:10" ht="16.5" customHeight="1" x14ac:dyDescent="0.25">
      <c r="A25" s="22">
        <v>16</v>
      </c>
      <c r="B25" s="30">
        <v>46043</v>
      </c>
      <c r="C25" s="31" t="s">
        <v>58</v>
      </c>
      <c r="D25" s="32" t="s">
        <v>59</v>
      </c>
      <c r="E25" s="31" t="s">
        <v>60</v>
      </c>
      <c r="F25" s="33">
        <v>7.0000000000000007E-2</v>
      </c>
      <c r="G25" s="35"/>
      <c r="H25" s="38">
        <v>24.5</v>
      </c>
      <c r="I25" s="34">
        <f t="shared" si="0"/>
        <v>2308.5499999999997</v>
      </c>
      <c r="J25" s="36"/>
    </row>
    <row r="26" spans="1:10" ht="16.5" customHeight="1" x14ac:dyDescent="0.25">
      <c r="A26" s="22">
        <v>17</v>
      </c>
      <c r="B26" s="23">
        <v>46044</v>
      </c>
      <c r="C26" s="24" t="s">
        <v>61</v>
      </c>
      <c r="D26" s="25" t="s">
        <v>62</v>
      </c>
      <c r="E26" s="24" t="s">
        <v>63</v>
      </c>
      <c r="F26" s="26">
        <v>0</v>
      </c>
      <c r="G26" s="27"/>
      <c r="H26" s="37">
        <v>15</v>
      </c>
      <c r="I26" s="28">
        <f t="shared" si="0"/>
        <v>2293.5499999999997</v>
      </c>
      <c r="J26" s="29"/>
    </row>
    <row r="27" spans="1:10" ht="16.5" customHeight="1" x14ac:dyDescent="0.25">
      <c r="A27" s="22">
        <v>18</v>
      </c>
      <c r="B27" s="30">
        <v>46045</v>
      </c>
      <c r="C27" s="31" t="s">
        <v>64</v>
      </c>
      <c r="D27" s="32" t="s">
        <v>65</v>
      </c>
      <c r="E27" s="31" t="s">
        <v>23</v>
      </c>
      <c r="F27" s="33">
        <v>0.19</v>
      </c>
      <c r="G27" s="34">
        <v>833</v>
      </c>
      <c r="H27" s="35"/>
      <c r="I27" s="34">
        <f t="shared" si="0"/>
        <v>3126.5499999999997</v>
      </c>
      <c r="J27" s="36"/>
    </row>
    <row r="28" spans="1:10" ht="16.5" customHeight="1" x14ac:dyDescent="0.25">
      <c r="A28" s="22">
        <v>19</v>
      </c>
      <c r="B28" s="23">
        <v>46048</v>
      </c>
      <c r="C28" s="24" t="s">
        <v>66</v>
      </c>
      <c r="D28" s="25" t="s">
        <v>67</v>
      </c>
      <c r="E28" s="24" t="s">
        <v>26</v>
      </c>
      <c r="F28" s="26">
        <v>7.0000000000000007E-2</v>
      </c>
      <c r="G28" s="27"/>
      <c r="H28" s="37">
        <v>38</v>
      </c>
      <c r="I28" s="28">
        <f t="shared" si="0"/>
        <v>3088.5499999999997</v>
      </c>
      <c r="J28" s="29"/>
    </row>
    <row r="29" spans="1:10" ht="16.5" customHeight="1" x14ac:dyDescent="0.25">
      <c r="A29" s="22">
        <v>20</v>
      </c>
      <c r="B29" s="30">
        <v>46049</v>
      </c>
      <c r="C29" s="31" t="s">
        <v>68</v>
      </c>
      <c r="D29" s="32" t="s">
        <v>69</v>
      </c>
      <c r="E29" s="31" t="s">
        <v>70</v>
      </c>
      <c r="F29" s="33">
        <v>0</v>
      </c>
      <c r="G29" s="34">
        <v>200</v>
      </c>
      <c r="H29" s="35"/>
      <c r="I29" s="34">
        <f t="shared" si="0"/>
        <v>3288.5499999999997</v>
      </c>
      <c r="J29" s="36"/>
    </row>
    <row r="30" spans="1:10" ht="16.5" customHeight="1" x14ac:dyDescent="0.25">
      <c r="A30" s="22">
        <v>21</v>
      </c>
      <c r="B30" s="23">
        <v>46050</v>
      </c>
      <c r="C30" s="24" t="s">
        <v>71</v>
      </c>
      <c r="D30" s="25" t="s">
        <v>72</v>
      </c>
      <c r="E30" s="24" t="s">
        <v>31</v>
      </c>
      <c r="F30" s="26">
        <v>0.19</v>
      </c>
      <c r="G30" s="27"/>
      <c r="H30" s="37">
        <v>31.85</v>
      </c>
      <c r="I30" s="28">
        <f t="shared" si="0"/>
        <v>3256.7</v>
      </c>
      <c r="J30" s="29"/>
    </row>
    <row r="31" spans="1:10" ht="16.5" customHeight="1" x14ac:dyDescent="0.25">
      <c r="A31" s="22">
        <v>22</v>
      </c>
      <c r="B31" s="30">
        <v>46051</v>
      </c>
      <c r="C31" s="31" t="s">
        <v>73</v>
      </c>
      <c r="D31" s="32" t="s">
        <v>74</v>
      </c>
      <c r="E31" s="31" t="s">
        <v>23</v>
      </c>
      <c r="F31" s="33">
        <v>0.19</v>
      </c>
      <c r="G31" s="34">
        <v>267</v>
      </c>
      <c r="H31" s="35"/>
      <c r="I31" s="34">
        <f t="shared" si="0"/>
        <v>3523.7</v>
      </c>
      <c r="J31" s="36"/>
    </row>
    <row r="32" spans="1:10" ht="16.5" customHeight="1" x14ac:dyDescent="0.25">
      <c r="A32" s="22">
        <v>23</v>
      </c>
      <c r="B32" s="23">
        <v>46052</v>
      </c>
      <c r="C32" s="24" t="s">
        <v>75</v>
      </c>
      <c r="D32" s="25" t="s">
        <v>76</v>
      </c>
      <c r="E32" s="24" t="s">
        <v>26</v>
      </c>
      <c r="F32" s="26">
        <v>7.0000000000000007E-2</v>
      </c>
      <c r="G32" s="27"/>
      <c r="H32" s="37">
        <v>12.6</v>
      </c>
      <c r="I32" s="28">
        <f t="shared" si="0"/>
        <v>3511.1</v>
      </c>
      <c r="J32" s="29"/>
    </row>
    <row r="33" spans="1:10" ht="16.5" customHeight="1" x14ac:dyDescent="0.25">
      <c r="A33" s="22">
        <v>24</v>
      </c>
      <c r="B33" s="30">
        <v>46053</v>
      </c>
      <c r="C33" s="31" t="s">
        <v>77</v>
      </c>
      <c r="D33" s="32" t="s">
        <v>78</v>
      </c>
      <c r="E33" s="31" t="s">
        <v>20</v>
      </c>
      <c r="F33" s="33">
        <v>0</v>
      </c>
      <c r="G33" s="35"/>
      <c r="H33" s="35"/>
      <c r="I33" s="34">
        <f t="shared" si="0"/>
        <v>3511.1</v>
      </c>
      <c r="J33" s="36"/>
    </row>
    <row r="34" spans="1:10" ht="16.5" customHeight="1" x14ac:dyDescent="0.25">
      <c r="A34" s="22">
        <v>25</v>
      </c>
      <c r="B34" s="39"/>
      <c r="C34" s="40"/>
      <c r="D34" s="40"/>
      <c r="E34" s="40"/>
      <c r="F34" s="40"/>
      <c r="G34" s="40"/>
      <c r="H34" s="40"/>
      <c r="I34" s="28" t="str">
        <f t="shared" ref="I34:I53" si="1">IF(AND(G34="",H34=""),"",I33+IFERROR(G34,0)-IFERROR(H34,0))</f>
        <v/>
      </c>
      <c r="J34" s="29"/>
    </row>
    <row r="35" spans="1:10" ht="16.5" customHeight="1" x14ac:dyDescent="0.25">
      <c r="A35" s="22">
        <v>26</v>
      </c>
      <c r="B35" s="41"/>
      <c r="C35" s="42"/>
      <c r="D35" s="42"/>
      <c r="E35" s="42"/>
      <c r="F35" s="42"/>
      <c r="G35" s="42"/>
      <c r="H35" s="42"/>
      <c r="I35" s="34" t="str">
        <f t="shared" si="1"/>
        <v/>
      </c>
      <c r="J35" s="36"/>
    </row>
    <row r="36" spans="1:10" ht="16.5" customHeight="1" x14ac:dyDescent="0.25">
      <c r="A36" s="22">
        <v>27</v>
      </c>
      <c r="B36" s="39"/>
      <c r="C36" s="40"/>
      <c r="D36" s="40"/>
      <c r="E36" s="40"/>
      <c r="F36" s="40"/>
      <c r="G36" s="40"/>
      <c r="H36" s="40"/>
      <c r="I36" s="28" t="str">
        <f t="shared" si="1"/>
        <v/>
      </c>
      <c r="J36" s="29"/>
    </row>
    <row r="37" spans="1:10" ht="16.5" customHeight="1" x14ac:dyDescent="0.25">
      <c r="A37" s="22">
        <v>28</v>
      </c>
      <c r="B37" s="41"/>
      <c r="C37" s="42"/>
      <c r="D37" s="42"/>
      <c r="E37" s="42"/>
      <c r="F37" s="42"/>
      <c r="G37" s="42"/>
      <c r="H37" s="42"/>
      <c r="I37" s="34" t="str">
        <f t="shared" si="1"/>
        <v/>
      </c>
      <c r="J37" s="36"/>
    </row>
    <row r="38" spans="1:10" ht="16.5" customHeight="1" x14ac:dyDescent="0.25">
      <c r="A38" s="22">
        <v>29</v>
      </c>
      <c r="B38" s="39"/>
      <c r="C38" s="40"/>
      <c r="D38" s="40"/>
      <c r="E38" s="40"/>
      <c r="F38" s="40"/>
      <c r="G38" s="40"/>
      <c r="H38" s="40"/>
      <c r="I38" s="28" t="str">
        <f t="shared" si="1"/>
        <v/>
      </c>
      <c r="J38" s="29"/>
    </row>
    <row r="39" spans="1:10" ht="16.5" customHeight="1" x14ac:dyDescent="0.25">
      <c r="A39" s="22">
        <v>30</v>
      </c>
      <c r="B39" s="41"/>
      <c r="C39" s="42"/>
      <c r="D39" s="42"/>
      <c r="E39" s="42"/>
      <c r="F39" s="42"/>
      <c r="G39" s="42"/>
      <c r="H39" s="42"/>
      <c r="I39" s="34" t="str">
        <f t="shared" si="1"/>
        <v/>
      </c>
      <c r="J39" s="36"/>
    </row>
    <row r="40" spans="1:10" ht="16.5" customHeight="1" x14ac:dyDescent="0.25">
      <c r="A40" s="22">
        <v>31</v>
      </c>
      <c r="B40" s="39"/>
      <c r="C40" s="40"/>
      <c r="D40" s="40"/>
      <c r="E40" s="40"/>
      <c r="F40" s="40"/>
      <c r="G40" s="40"/>
      <c r="H40" s="40"/>
      <c r="I40" s="28" t="str">
        <f t="shared" si="1"/>
        <v/>
      </c>
      <c r="J40" s="29"/>
    </row>
    <row r="41" spans="1:10" ht="16.5" customHeight="1" x14ac:dyDescent="0.25">
      <c r="A41" s="22">
        <v>32</v>
      </c>
      <c r="B41" s="41"/>
      <c r="C41" s="42"/>
      <c r="D41" s="42"/>
      <c r="E41" s="42"/>
      <c r="F41" s="42"/>
      <c r="G41" s="42"/>
      <c r="H41" s="42"/>
      <c r="I41" s="34" t="str">
        <f t="shared" si="1"/>
        <v/>
      </c>
      <c r="J41" s="36"/>
    </row>
    <row r="42" spans="1:10" ht="16.5" customHeight="1" x14ac:dyDescent="0.25">
      <c r="A42" s="22">
        <v>33</v>
      </c>
      <c r="B42" s="39"/>
      <c r="C42" s="40"/>
      <c r="D42" s="40"/>
      <c r="E42" s="40"/>
      <c r="F42" s="40"/>
      <c r="G42" s="40"/>
      <c r="H42" s="40"/>
      <c r="I42" s="28" t="str">
        <f t="shared" si="1"/>
        <v/>
      </c>
      <c r="J42" s="29"/>
    </row>
    <row r="43" spans="1:10" ht="16.5" customHeight="1" x14ac:dyDescent="0.25">
      <c r="A43" s="22">
        <v>34</v>
      </c>
      <c r="B43" s="41"/>
      <c r="C43" s="42"/>
      <c r="D43" s="42"/>
      <c r="E43" s="42"/>
      <c r="F43" s="42"/>
      <c r="G43" s="42"/>
      <c r="H43" s="42"/>
      <c r="I43" s="34" t="str">
        <f t="shared" si="1"/>
        <v/>
      </c>
      <c r="J43" s="36"/>
    </row>
    <row r="44" spans="1:10" ht="16.5" customHeight="1" x14ac:dyDescent="0.25">
      <c r="A44" s="22">
        <v>35</v>
      </c>
      <c r="B44" s="39"/>
      <c r="C44" s="40"/>
      <c r="D44" s="40"/>
      <c r="E44" s="40"/>
      <c r="F44" s="40"/>
      <c r="G44" s="40"/>
      <c r="H44" s="40"/>
      <c r="I44" s="28" t="str">
        <f t="shared" si="1"/>
        <v/>
      </c>
      <c r="J44" s="29"/>
    </row>
    <row r="45" spans="1:10" ht="16.5" customHeight="1" x14ac:dyDescent="0.25">
      <c r="A45" s="22">
        <v>36</v>
      </c>
      <c r="B45" s="41"/>
      <c r="C45" s="42"/>
      <c r="D45" s="42"/>
      <c r="E45" s="42"/>
      <c r="F45" s="42"/>
      <c r="G45" s="42"/>
      <c r="H45" s="42"/>
      <c r="I45" s="34" t="str">
        <f t="shared" si="1"/>
        <v/>
      </c>
      <c r="J45" s="36"/>
    </row>
    <row r="46" spans="1:10" ht="16.5" customHeight="1" x14ac:dyDescent="0.25">
      <c r="A46" s="22">
        <v>37</v>
      </c>
      <c r="B46" s="39"/>
      <c r="C46" s="40"/>
      <c r="D46" s="40"/>
      <c r="E46" s="40"/>
      <c r="F46" s="40"/>
      <c r="G46" s="40"/>
      <c r="H46" s="40"/>
      <c r="I46" s="28" t="str">
        <f t="shared" si="1"/>
        <v/>
      </c>
      <c r="J46" s="29"/>
    </row>
    <row r="47" spans="1:10" ht="16.5" customHeight="1" x14ac:dyDescent="0.25">
      <c r="A47" s="22">
        <v>38</v>
      </c>
      <c r="B47" s="41"/>
      <c r="C47" s="42"/>
      <c r="D47" s="42"/>
      <c r="E47" s="42"/>
      <c r="F47" s="42"/>
      <c r="G47" s="42"/>
      <c r="H47" s="42"/>
      <c r="I47" s="34" t="str">
        <f t="shared" si="1"/>
        <v/>
      </c>
      <c r="J47" s="36"/>
    </row>
    <row r="48" spans="1:10" ht="16.5" customHeight="1" x14ac:dyDescent="0.25">
      <c r="A48" s="22">
        <v>39</v>
      </c>
      <c r="B48" s="39"/>
      <c r="C48" s="40"/>
      <c r="D48" s="40"/>
      <c r="E48" s="40"/>
      <c r="F48" s="40"/>
      <c r="G48" s="40"/>
      <c r="H48" s="40"/>
      <c r="I48" s="28" t="str">
        <f t="shared" si="1"/>
        <v/>
      </c>
      <c r="J48" s="29"/>
    </row>
    <row r="49" spans="1:10" ht="16.5" customHeight="1" x14ac:dyDescent="0.25">
      <c r="A49" s="22">
        <v>40</v>
      </c>
      <c r="B49" s="41"/>
      <c r="C49" s="42"/>
      <c r="D49" s="42"/>
      <c r="E49" s="42"/>
      <c r="F49" s="42"/>
      <c r="G49" s="42"/>
      <c r="H49" s="42"/>
      <c r="I49" s="34" t="str">
        <f t="shared" si="1"/>
        <v/>
      </c>
      <c r="J49" s="36"/>
    </row>
    <row r="50" spans="1:10" ht="16.5" customHeight="1" x14ac:dyDescent="0.25">
      <c r="A50" s="22">
        <v>41</v>
      </c>
      <c r="B50" s="39"/>
      <c r="C50" s="40"/>
      <c r="D50" s="40"/>
      <c r="E50" s="40"/>
      <c r="F50" s="40"/>
      <c r="G50" s="40"/>
      <c r="H50" s="40"/>
      <c r="I50" s="28" t="str">
        <f t="shared" si="1"/>
        <v/>
      </c>
      <c r="J50" s="29"/>
    </row>
    <row r="51" spans="1:10" ht="16.5" customHeight="1" x14ac:dyDescent="0.25">
      <c r="A51" s="22">
        <v>42</v>
      </c>
      <c r="B51" s="41"/>
      <c r="C51" s="42"/>
      <c r="D51" s="42"/>
      <c r="E51" s="42"/>
      <c r="F51" s="42"/>
      <c r="G51" s="42"/>
      <c r="H51" s="42"/>
      <c r="I51" s="34" t="str">
        <f t="shared" si="1"/>
        <v/>
      </c>
      <c r="J51" s="36"/>
    </row>
    <row r="52" spans="1:10" ht="16.5" customHeight="1" x14ac:dyDescent="0.25">
      <c r="A52" s="22">
        <v>43</v>
      </c>
      <c r="B52" s="39"/>
      <c r="C52" s="40"/>
      <c r="D52" s="40"/>
      <c r="E52" s="40"/>
      <c r="F52" s="40"/>
      <c r="G52" s="40"/>
      <c r="H52" s="40"/>
      <c r="I52" s="28" t="str">
        <f t="shared" si="1"/>
        <v/>
      </c>
      <c r="J52" s="29"/>
    </row>
    <row r="53" spans="1:10" ht="16.5" customHeight="1" x14ac:dyDescent="0.25">
      <c r="A53" s="22">
        <v>44</v>
      </c>
      <c r="B53" s="41"/>
      <c r="C53" s="42"/>
      <c r="D53" s="42"/>
      <c r="E53" s="42"/>
      <c r="F53" s="42"/>
      <c r="G53" s="42"/>
      <c r="H53" s="42"/>
      <c r="I53" s="34" t="str">
        <f t="shared" si="1"/>
        <v/>
      </c>
      <c r="J53" s="36"/>
    </row>
    <row r="54" spans="1:10" ht="21.75" customHeight="1" x14ac:dyDescent="0.25">
      <c r="A54" s="9" t="s">
        <v>79</v>
      </c>
      <c r="B54" s="9"/>
      <c r="C54" s="9"/>
      <c r="D54" s="9"/>
      <c r="E54" s="9"/>
      <c r="F54" s="9"/>
      <c r="G54" s="43">
        <f>SUM(G10:G53)</f>
        <v>3314.2</v>
      </c>
      <c r="H54" s="43">
        <f>SUM(H10:H53)</f>
        <v>653.1</v>
      </c>
      <c r="I54" s="21"/>
      <c r="J54" s="21"/>
    </row>
    <row r="55" spans="1:10" ht="21.75" customHeight="1" x14ac:dyDescent="0.25">
      <c r="A55" s="8" t="s">
        <v>80</v>
      </c>
      <c r="B55" s="8"/>
      <c r="C55" s="8"/>
      <c r="D55" s="8"/>
      <c r="E55" s="8"/>
      <c r="F55" s="8"/>
      <c r="G55" s="8"/>
      <c r="H55" s="8"/>
      <c r="I55" s="44">
        <f>E6+SUM(G10:G53)-SUM(H10:H53)</f>
        <v>3511.1</v>
      </c>
      <c r="J55" s="15"/>
    </row>
    <row r="56" spans="1:10" ht="15.75" customHeight="1" x14ac:dyDescent="0.25">
      <c r="A56" s="7" t="s">
        <v>81</v>
      </c>
      <c r="B56" s="7"/>
      <c r="C56" s="7"/>
      <c r="D56" s="7"/>
      <c r="E56" s="7"/>
      <c r="F56" s="7"/>
      <c r="G56" s="7"/>
      <c r="H56" s="7"/>
      <c r="I56" s="45">
        <f>SUMIFS(G10:G53,F10:F53,0.19)/1.19+SUMIFS(G10:G53,F10:F53,0.07)/1.07+SUMIFS(G10:G53,F10:F53,0)</f>
        <v>2816.9747899159665</v>
      </c>
      <c r="J56" s="46"/>
    </row>
    <row r="57" spans="1:10" ht="15.75" customHeight="1" x14ac:dyDescent="0.25">
      <c r="A57" s="7" t="s">
        <v>82</v>
      </c>
      <c r="B57" s="7"/>
      <c r="C57" s="7"/>
      <c r="D57" s="7"/>
      <c r="E57" s="7"/>
      <c r="F57" s="7"/>
      <c r="G57" s="7"/>
      <c r="H57" s="7"/>
      <c r="I57" s="45">
        <f>SUMIFS(G10:G53,F10:F53,0.19)-SUMIFS(G10:G53,F10:F53,0.19)/1.19+SUMIFS(G10:G53,F10:F53,0.07)-SUMIFS(G10:G53,F10:F53,0.07)/1.07</f>
        <v>497.22521008403328</v>
      </c>
      <c r="J57" s="46"/>
    </row>
    <row r="58" spans="1:10" ht="15.75" customHeight="1" x14ac:dyDescent="0.25">
      <c r="A58" s="7" t="s">
        <v>83</v>
      </c>
      <c r="B58" s="7"/>
      <c r="C58" s="7"/>
      <c r="D58" s="7"/>
      <c r="E58" s="7"/>
      <c r="F58" s="7"/>
      <c r="G58" s="7"/>
      <c r="H58" s="7"/>
      <c r="I58" s="45">
        <f>SUMIFS(H10:H53,F10:F53,0.19)-SUMIFS(H10:H53,F10:F53,0.19)/1.19+SUMIFS(H10:H53,F10:F53,0.07)-SUMIFS(H10:H53,F10:F53,0.07)/1.07</f>
        <v>62.871067305426834</v>
      </c>
      <c r="J58" s="46"/>
    </row>
    <row r="60" spans="1:10" ht="12.75" customHeight="1" x14ac:dyDescent="0.25">
      <c r="A60" s="6" t="s">
        <v>84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12.75" customHeight="1" x14ac:dyDescent="0.25">
      <c r="A61" s="5" t="s">
        <v>85</v>
      </c>
      <c r="B61" s="5"/>
      <c r="C61" s="5"/>
      <c r="D61" s="5"/>
      <c r="E61" s="5"/>
      <c r="F61" s="5"/>
      <c r="G61" s="5"/>
      <c r="H61" s="5"/>
      <c r="I61" s="5"/>
      <c r="J61" s="5"/>
    </row>
  </sheetData>
  <mergeCells count="14">
    <mergeCell ref="A57:H57"/>
    <mergeCell ref="A58:H58"/>
    <mergeCell ref="A60:J60"/>
    <mergeCell ref="A61:J61"/>
    <mergeCell ref="B7:D7"/>
    <mergeCell ref="F7:G7"/>
    <mergeCell ref="A54:F54"/>
    <mergeCell ref="A55:H55"/>
    <mergeCell ref="A56:H56"/>
    <mergeCell ref="A1:J1"/>
    <mergeCell ref="A2:J2"/>
    <mergeCell ref="A3:J3"/>
    <mergeCell ref="B6:D6"/>
    <mergeCell ref="F6:G6"/>
  </mergeCells>
  <dataValidations count="2">
    <dataValidation type="list" allowBlank="1" sqref="E10:E53" xr:uid="{00000000-0002-0000-0000-000000000000}">
      <formula1>"Umsatzerlöse,Sonstige Einnahmen,Kasseneinlage,Kassenübertrag,Büro &amp; Verwaltung,Betriebskosten,Bewirtung,Reise &amp; Fahrtkosten,Marketing,Instandhaltung,Porto &amp; Versand,Privatentnahme,Sonstige Ausgaben"</formula1>
      <formula2>0</formula2>
    </dataValidation>
    <dataValidation type="list" allowBlank="1" sqref="F10:F53" xr:uid="{00000000-0002-0000-0000-000001000000}">
      <formula1>"0%,7%,19%"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8A96A"/>
  </sheetPr>
  <dimension ref="A1:G34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3" customWidth="1"/>
    <col min="2" max="2" width="26" customWidth="1"/>
    <col min="3" max="5" width="16" customWidth="1"/>
    <col min="6" max="6" width="14" customWidth="1"/>
    <col min="7" max="7" width="3" customWidth="1"/>
  </cols>
  <sheetData>
    <row r="1" spans="1:7" ht="36" customHeight="1" x14ac:dyDescent="0.25">
      <c r="A1" s="4" t="s">
        <v>86</v>
      </c>
      <c r="B1" s="4"/>
      <c r="C1" s="4"/>
      <c r="D1" s="4"/>
      <c r="E1" s="4"/>
      <c r="F1" s="4"/>
      <c r="G1" s="4"/>
    </row>
    <row r="2" spans="1:7" ht="13.5" customHeight="1" x14ac:dyDescent="0.25">
      <c r="A2" s="13" t="s">
        <v>87</v>
      </c>
      <c r="B2" s="13"/>
      <c r="C2" s="13"/>
      <c r="D2" s="13"/>
      <c r="E2" s="13"/>
      <c r="F2" s="13"/>
      <c r="G2" s="13"/>
    </row>
    <row r="3" spans="1:7" ht="4.5" customHeight="1" x14ac:dyDescent="0.25">
      <c r="A3" s="12"/>
      <c r="B3" s="12"/>
      <c r="C3" s="12"/>
      <c r="D3" s="12"/>
      <c r="E3" s="12"/>
      <c r="F3" s="12"/>
      <c r="G3" s="12"/>
    </row>
    <row r="4" spans="1:7" ht="7.5" customHeight="1" x14ac:dyDescent="0.25"/>
    <row r="5" spans="1:7" ht="19.5" customHeight="1" x14ac:dyDescent="0.25">
      <c r="A5" s="3" t="s">
        <v>88</v>
      </c>
      <c r="B5" s="3"/>
      <c r="C5" s="3"/>
      <c r="D5" s="3"/>
      <c r="E5" s="3"/>
      <c r="F5" s="3"/>
      <c r="G5" s="3"/>
    </row>
    <row r="6" spans="1:7" ht="19.5" customHeight="1" x14ac:dyDescent="0.25">
      <c r="A6" s="15"/>
      <c r="B6" s="47" t="s">
        <v>13</v>
      </c>
      <c r="C6" s="48" t="s">
        <v>89</v>
      </c>
      <c r="D6" s="48" t="s">
        <v>90</v>
      </c>
      <c r="E6" s="48" t="s">
        <v>91</v>
      </c>
      <c r="F6" s="48" t="s">
        <v>92</v>
      </c>
      <c r="G6" s="49"/>
    </row>
    <row r="7" spans="1:7" ht="18" customHeight="1" x14ac:dyDescent="0.25">
      <c r="A7" s="15"/>
      <c r="B7" s="50" t="s">
        <v>23</v>
      </c>
      <c r="C7" s="51">
        <f>SUMIFS(Kassenbuch!G10:G53,Kassenbuch!E10:E53,"Umsatzerlöse")</f>
        <v>3078.5</v>
      </c>
      <c r="D7" s="52">
        <f>SUMIFS(Kassenbuch!H10:H53,Kassenbuch!E10:E53,"Umsatzerlöse")</f>
        <v>0</v>
      </c>
      <c r="E7" s="53">
        <f t="shared" ref="E7:E20" si="0">C7-D7</f>
        <v>3078.5</v>
      </c>
      <c r="F7" s="54">
        <f>IFERROR(D7/D20,0)</f>
        <v>0</v>
      </c>
      <c r="G7" s="29"/>
    </row>
    <row r="8" spans="1:7" ht="18" customHeight="1" x14ac:dyDescent="0.25">
      <c r="A8" s="15"/>
      <c r="B8" s="55" t="s">
        <v>49</v>
      </c>
      <c r="C8" s="56">
        <f>SUMIFS(Kassenbuch!G10:G53,Kassenbuch!E10:E53,"Sonstige Einnahmen")</f>
        <v>35.700000000000003</v>
      </c>
      <c r="D8" s="57">
        <f>SUMIFS(Kassenbuch!H10:H53,Kassenbuch!E10:E53,"Sonstige Einnahmen")</f>
        <v>0</v>
      </c>
      <c r="E8" s="58">
        <f t="shared" si="0"/>
        <v>35.700000000000003</v>
      </c>
      <c r="F8" s="59">
        <f>IFERROR(D8/D20,0)</f>
        <v>0</v>
      </c>
      <c r="G8" s="36"/>
    </row>
    <row r="9" spans="1:7" ht="18" customHeight="1" x14ac:dyDescent="0.25">
      <c r="A9" s="15"/>
      <c r="B9" s="50" t="s">
        <v>70</v>
      </c>
      <c r="C9" s="51">
        <f>SUMIFS(Kassenbuch!G10:G53,Kassenbuch!E10:E53,"Kasseneinlage")</f>
        <v>200</v>
      </c>
      <c r="D9" s="52">
        <f>SUMIFS(Kassenbuch!H10:H53,Kassenbuch!E10:E53,"Kasseneinlage")</f>
        <v>0</v>
      </c>
      <c r="E9" s="53">
        <f t="shared" si="0"/>
        <v>200</v>
      </c>
      <c r="F9" s="54">
        <f>IFERROR(D9/D20,0)</f>
        <v>0</v>
      </c>
      <c r="G9" s="29"/>
    </row>
    <row r="10" spans="1:7" ht="18" customHeight="1" x14ac:dyDescent="0.25">
      <c r="A10" s="15"/>
      <c r="B10" s="55" t="s">
        <v>20</v>
      </c>
      <c r="C10" s="56">
        <f>SUMIFS(Kassenbuch!G10:G53,Kassenbuch!E10:E53,"Kassenübertrag")</f>
        <v>0</v>
      </c>
      <c r="D10" s="57">
        <f>SUMIFS(Kassenbuch!H10:H53,Kassenbuch!E10:E53,"Kassenübertrag")</f>
        <v>0</v>
      </c>
      <c r="E10" s="58">
        <f t="shared" si="0"/>
        <v>0</v>
      </c>
      <c r="F10" s="59">
        <f>IFERROR(D10/D20,0)</f>
        <v>0</v>
      </c>
      <c r="G10" s="36"/>
    </row>
    <row r="11" spans="1:7" ht="18" customHeight="1" x14ac:dyDescent="0.25">
      <c r="A11" s="15"/>
      <c r="B11" s="50" t="s">
        <v>26</v>
      </c>
      <c r="C11" s="51">
        <f>SUMIFS(Kassenbuch!G10:G53,Kassenbuch!E10:E53,"Büro &amp; Verwaltung")</f>
        <v>0</v>
      </c>
      <c r="D11" s="52">
        <f>SUMIFS(Kassenbuch!H10:H53,Kassenbuch!E10:E53,"Büro &amp; Verwaltung")</f>
        <v>110.1</v>
      </c>
      <c r="E11" s="53">
        <f t="shared" si="0"/>
        <v>-110.1</v>
      </c>
      <c r="F11" s="54">
        <f>IFERROR(D11/D20,0)</f>
        <v>0.16858061552595313</v>
      </c>
      <c r="G11" s="29"/>
    </row>
    <row r="12" spans="1:7" ht="18" customHeight="1" x14ac:dyDescent="0.25">
      <c r="A12" s="15"/>
      <c r="B12" s="55" t="s">
        <v>31</v>
      </c>
      <c r="C12" s="56">
        <f>SUMIFS(Kassenbuch!G10:G53,Kassenbuch!E10:E53,"Betriebskosten")</f>
        <v>0</v>
      </c>
      <c r="D12" s="57">
        <f>SUMIFS(Kassenbuch!H10:H53,Kassenbuch!E10:E53,"Betriebskosten")</f>
        <v>83.15</v>
      </c>
      <c r="E12" s="58">
        <f t="shared" si="0"/>
        <v>-83.15</v>
      </c>
      <c r="F12" s="59">
        <f>IFERROR(D12/D20,0)</f>
        <v>0.12731587811973666</v>
      </c>
      <c r="G12" s="36"/>
    </row>
    <row r="13" spans="1:7" ht="18" customHeight="1" x14ac:dyDescent="0.25">
      <c r="A13" s="15"/>
      <c r="B13" s="50" t="s">
        <v>42</v>
      </c>
      <c r="C13" s="51">
        <f>SUMIFS(Kassenbuch!G10:G53,Kassenbuch!E10:E53,"Bewirtung")</f>
        <v>0</v>
      </c>
      <c r="D13" s="52">
        <f>SUMIFS(Kassenbuch!H10:H53,Kassenbuch!E10:E53,"Bewirtung")</f>
        <v>64.8</v>
      </c>
      <c r="E13" s="53">
        <f t="shared" si="0"/>
        <v>-64.8</v>
      </c>
      <c r="F13" s="54">
        <f>IFERROR(D13/D20,0)</f>
        <v>9.9219108865411104E-2</v>
      </c>
      <c r="G13" s="29"/>
    </row>
    <row r="14" spans="1:7" ht="18" customHeight="1" x14ac:dyDescent="0.25">
      <c r="A14" s="15"/>
      <c r="B14" s="55" t="s">
        <v>60</v>
      </c>
      <c r="C14" s="56">
        <f>SUMIFS(Kassenbuch!G10:G53,Kassenbuch!E10:E53,"Reise &amp; Fahrtkosten")</f>
        <v>0</v>
      </c>
      <c r="D14" s="57">
        <f>SUMIFS(Kassenbuch!H10:H53,Kassenbuch!E10:E53,"Reise &amp; Fahrtkosten")</f>
        <v>24.5</v>
      </c>
      <c r="E14" s="58">
        <f t="shared" si="0"/>
        <v>-24.5</v>
      </c>
      <c r="F14" s="59">
        <f>IFERROR(D14/D20,0)</f>
        <v>3.7513397642015001E-2</v>
      </c>
      <c r="G14" s="36"/>
    </row>
    <row r="15" spans="1:7" ht="18" customHeight="1" x14ac:dyDescent="0.25">
      <c r="A15" s="15"/>
      <c r="B15" s="50" t="s">
        <v>52</v>
      </c>
      <c r="C15" s="51">
        <f>SUMIFS(Kassenbuch!G10:G53,Kassenbuch!E10:E53,"Marketing")</f>
        <v>0</v>
      </c>
      <c r="D15" s="52">
        <f>SUMIFS(Kassenbuch!H10:H53,Kassenbuch!E10:E53,"Marketing")</f>
        <v>89.25</v>
      </c>
      <c r="E15" s="53">
        <f t="shared" si="0"/>
        <v>-89.25</v>
      </c>
      <c r="F15" s="54">
        <f>IFERROR(D15/D20,0)</f>
        <v>0.13665594855305466</v>
      </c>
      <c r="G15" s="29"/>
    </row>
    <row r="16" spans="1:7" ht="18" customHeight="1" x14ac:dyDescent="0.25">
      <c r="A16" s="15"/>
      <c r="B16" s="55" t="s">
        <v>57</v>
      </c>
      <c r="C16" s="56">
        <f>SUMIFS(Kassenbuch!G10:G53,Kassenbuch!E10:E53,"Instandhaltung")</f>
        <v>0</v>
      </c>
      <c r="D16" s="57">
        <f>SUMIFS(Kassenbuch!H10:H53,Kassenbuch!E10:E53,"Instandhaltung")</f>
        <v>47.6</v>
      </c>
      <c r="E16" s="58">
        <f t="shared" si="0"/>
        <v>-47.6</v>
      </c>
      <c r="F16" s="59">
        <f>IFERROR(D16/D20,0)</f>
        <v>7.2883172561629156E-2</v>
      </c>
      <c r="G16" s="36"/>
    </row>
    <row r="17" spans="1:7" ht="18" customHeight="1" x14ac:dyDescent="0.25">
      <c r="A17" s="15"/>
      <c r="B17" s="50" t="s">
        <v>34</v>
      </c>
      <c r="C17" s="51">
        <f>SUMIFS(Kassenbuch!G10:G53,Kassenbuch!E10:E53,"Porto &amp; Versand")</f>
        <v>0</v>
      </c>
      <c r="D17" s="52">
        <f>SUMIFS(Kassenbuch!H10:H53,Kassenbuch!E10:E53,"Porto &amp; Versand")</f>
        <v>18.7</v>
      </c>
      <c r="E17" s="53">
        <f t="shared" si="0"/>
        <v>-18.7</v>
      </c>
      <c r="F17" s="54">
        <f>IFERROR(D17/D20,0)</f>
        <v>2.8632674934925738E-2</v>
      </c>
      <c r="G17" s="29"/>
    </row>
    <row r="18" spans="1:7" ht="18" customHeight="1" x14ac:dyDescent="0.25">
      <c r="A18" s="15"/>
      <c r="B18" s="55" t="s">
        <v>39</v>
      </c>
      <c r="C18" s="56">
        <f>SUMIFS(Kassenbuch!G10:G53,Kassenbuch!E10:E53,"Privatentnahme")</f>
        <v>0</v>
      </c>
      <c r="D18" s="57">
        <f>SUMIFS(Kassenbuch!H10:H53,Kassenbuch!E10:E53,"Privatentnahme")</f>
        <v>200</v>
      </c>
      <c r="E18" s="58">
        <f t="shared" si="0"/>
        <v>-200</v>
      </c>
      <c r="F18" s="59">
        <f>IFERROR(D18/D20,0)</f>
        <v>0.30623181748583678</v>
      </c>
      <c r="G18" s="36"/>
    </row>
    <row r="19" spans="1:7" ht="18" customHeight="1" x14ac:dyDescent="0.25">
      <c r="A19" s="15"/>
      <c r="B19" s="50" t="s">
        <v>63</v>
      </c>
      <c r="C19" s="51">
        <f>SUMIFS(Kassenbuch!G10:G53,Kassenbuch!E10:E53,"Sonstige Ausgaben")</f>
        <v>0</v>
      </c>
      <c r="D19" s="52">
        <f>SUMIFS(Kassenbuch!H10:H53,Kassenbuch!E10:E53,"Sonstige Ausgaben")</f>
        <v>15</v>
      </c>
      <c r="E19" s="53">
        <f t="shared" si="0"/>
        <v>-15</v>
      </c>
      <c r="F19" s="54">
        <f>IFERROR(D19/D20,0)</f>
        <v>2.2967386311437757E-2</v>
      </c>
      <c r="G19" s="29"/>
    </row>
    <row r="20" spans="1:7" ht="21.75" customHeight="1" x14ac:dyDescent="0.25">
      <c r="A20" s="15"/>
      <c r="B20" s="60" t="s">
        <v>93</v>
      </c>
      <c r="C20" s="43">
        <f>SUM(C7:C19)</f>
        <v>3314.2</v>
      </c>
      <c r="D20" s="43">
        <f>SUM(D7:D19)</f>
        <v>653.1</v>
      </c>
      <c r="E20" s="43">
        <f t="shared" si="0"/>
        <v>2661.1</v>
      </c>
      <c r="F20" s="61"/>
      <c r="G20" s="21"/>
    </row>
    <row r="21" spans="1:7" ht="7.5" customHeight="1" x14ac:dyDescent="0.25"/>
    <row r="22" spans="1:7" ht="19.5" customHeight="1" x14ac:dyDescent="0.25">
      <c r="A22" s="3" t="s">
        <v>94</v>
      </c>
      <c r="B22" s="3"/>
      <c r="C22" s="3"/>
      <c r="D22" s="3"/>
      <c r="E22" s="3"/>
      <c r="F22" s="3"/>
      <c r="G22" s="3"/>
    </row>
    <row r="23" spans="1:7" ht="19.5" customHeight="1" x14ac:dyDescent="0.25">
      <c r="A23" s="15"/>
      <c r="B23" s="47" t="s">
        <v>95</v>
      </c>
      <c r="C23" s="48" t="s">
        <v>96</v>
      </c>
      <c r="D23" s="48" t="s">
        <v>97</v>
      </c>
      <c r="E23" s="48" t="s">
        <v>98</v>
      </c>
      <c r="F23" s="48" t="s">
        <v>99</v>
      </c>
      <c r="G23" s="49"/>
    </row>
    <row r="24" spans="1:7" ht="18" customHeight="1" x14ac:dyDescent="0.25">
      <c r="A24" s="15"/>
      <c r="B24" s="50" t="s">
        <v>100</v>
      </c>
      <c r="C24" s="51">
        <f>SUMIFS(Kassenbuch!G10:G53,Kassenbuch!F10:F53,0)</f>
        <v>200</v>
      </c>
      <c r="D24" s="27">
        <v>0</v>
      </c>
      <c r="E24" s="52">
        <f>SUMIFS(Kassenbuch!H10:H53,Kassenbuch!F10:F53,0)</f>
        <v>215</v>
      </c>
      <c r="F24" s="27">
        <v>0</v>
      </c>
      <c r="G24" s="29"/>
    </row>
    <row r="25" spans="1:7" ht="18" customHeight="1" x14ac:dyDescent="0.25">
      <c r="A25" s="15"/>
      <c r="B25" s="55" t="s">
        <v>101</v>
      </c>
      <c r="C25" s="56">
        <f>SUMIFS(Kassenbuch!G10:G53,Kassenbuch!F10:F53,0.07)</f>
        <v>0</v>
      </c>
      <c r="D25" s="35">
        <f>SUMIFS(Kassenbuch!G10:G53,Kassenbuch!F10:F53,0.07)-SUMIFS(Kassenbuch!G10:G53,Kassenbuch!F10:F53,0.07)/(1+0.07)</f>
        <v>0</v>
      </c>
      <c r="E25" s="57">
        <f>SUMIFS(Kassenbuch!H10:H53,Kassenbuch!F10:F53,0.07)</f>
        <v>75.099999999999994</v>
      </c>
      <c r="F25" s="35">
        <f>SUMIFS(Kassenbuch!H10:H53,Kassenbuch!F10:F53,0.07)-SUMIFS(Kassenbuch!H10:H53,Kassenbuch!F10:F53,0.07)/(1+0.07)</f>
        <v>4.9130841121495337</v>
      </c>
      <c r="G25" s="36"/>
    </row>
    <row r="26" spans="1:7" ht="18" customHeight="1" x14ac:dyDescent="0.25">
      <c r="A26" s="15"/>
      <c r="B26" s="50" t="s">
        <v>102</v>
      </c>
      <c r="C26" s="51">
        <f>SUMIFS(Kassenbuch!G10:G53,Kassenbuch!F10:F53,0.19)</f>
        <v>3114.2</v>
      </c>
      <c r="D26" s="27">
        <f>SUMIFS(Kassenbuch!G10:G53,Kassenbuch!F10:F53,0.19)-SUMIFS(Kassenbuch!G10:G53,Kassenbuch!F10:F53,0.19)/(1+0.19)</f>
        <v>497.22521008403328</v>
      </c>
      <c r="E26" s="52">
        <f>SUMIFS(Kassenbuch!H10:H53,Kassenbuch!F10:F53,0.19)</f>
        <v>363.00000000000006</v>
      </c>
      <c r="F26" s="27">
        <f>SUMIFS(Kassenbuch!H10:H53,Kassenbuch!F10:F53,0.19)-SUMIFS(Kassenbuch!H10:H53,Kassenbuch!F10:F53,0.19)/(1+0.19)</f>
        <v>57.9579831932773</v>
      </c>
      <c r="G26" s="29"/>
    </row>
    <row r="27" spans="1:7" ht="19.5" customHeight="1" x14ac:dyDescent="0.25">
      <c r="A27" s="21"/>
      <c r="B27" s="62" t="s">
        <v>103</v>
      </c>
      <c r="C27" s="63">
        <f>SUM(C24:C26)</f>
        <v>3314.2</v>
      </c>
      <c r="D27" s="63">
        <f>SUM(D24:D26)</f>
        <v>497.22521008403328</v>
      </c>
      <c r="E27" s="63">
        <f>SUM(E24:E26)</f>
        <v>653.10000000000014</v>
      </c>
      <c r="F27" s="63">
        <f>SUM(F24:F26)</f>
        <v>62.871067305426834</v>
      </c>
      <c r="G27" s="21"/>
    </row>
    <row r="28" spans="1:7" ht="18" customHeight="1" x14ac:dyDescent="0.25">
      <c r="A28" s="7" t="s">
        <v>104</v>
      </c>
      <c r="B28" s="7"/>
      <c r="C28" s="7"/>
      <c r="D28" s="64">
        <f>D27-F27</f>
        <v>434.35414277860644</v>
      </c>
      <c r="E28" s="46"/>
      <c r="F28" s="46"/>
      <c r="G28" s="46"/>
    </row>
    <row r="29" spans="1:7" ht="7.5" customHeight="1" x14ac:dyDescent="0.25"/>
    <row r="30" spans="1:7" ht="19.5" customHeight="1" x14ac:dyDescent="0.25">
      <c r="A30" s="3" t="s">
        <v>105</v>
      </c>
      <c r="B30" s="3"/>
      <c r="C30" s="3"/>
      <c r="D30" s="3"/>
      <c r="E30" s="3"/>
      <c r="F30" s="3"/>
      <c r="G30" s="3"/>
    </row>
    <row r="31" spans="1:7" ht="19.5" customHeight="1" x14ac:dyDescent="0.25">
      <c r="A31" s="15"/>
      <c r="B31" s="2" t="s">
        <v>106</v>
      </c>
      <c r="C31" s="2"/>
      <c r="D31" s="2"/>
      <c r="E31" s="51">
        <f>Kassenbuch!E6</f>
        <v>850</v>
      </c>
      <c r="F31" s="29"/>
      <c r="G31" s="29"/>
    </row>
    <row r="32" spans="1:7" ht="19.5" customHeight="1" x14ac:dyDescent="0.25">
      <c r="A32" s="15"/>
      <c r="B32" s="1" t="s">
        <v>107</v>
      </c>
      <c r="C32" s="1"/>
      <c r="D32" s="1"/>
      <c r="E32" s="56">
        <f>SUM(Kassenbuch!G10:G53)</f>
        <v>3314.2</v>
      </c>
      <c r="F32" s="36"/>
      <c r="G32" s="36"/>
    </row>
    <row r="33" spans="1:7" ht="19.5" customHeight="1" x14ac:dyDescent="0.25">
      <c r="A33" s="15"/>
      <c r="B33" s="2" t="s">
        <v>108</v>
      </c>
      <c r="C33" s="2"/>
      <c r="D33" s="2"/>
      <c r="E33" s="52">
        <f>SUM(Kassenbuch!H10:H53)</f>
        <v>653.1</v>
      </c>
      <c r="F33" s="29"/>
      <c r="G33" s="29"/>
    </row>
    <row r="34" spans="1:7" ht="19.5" customHeight="1" x14ac:dyDescent="0.25">
      <c r="A34" s="15"/>
      <c r="B34" s="66" t="s">
        <v>109</v>
      </c>
      <c r="C34" s="66"/>
      <c r="D34" s="66"/>
      <c r="E34" s="65">
        <f>Kassenbuch!I55</f>
        <v>3511.1</v>
      </c>
      <c r="F34" s="15"/>
      <c r="G34" s="15"/>
    </row>
  </sheetData>
  <mergeCells count="11">
    <mergeCell ref="B34:D34"/>
    <mergeCell ref="A28:C28"/>
    <mergeCell ref="A30:G30"/>
    <mergeCell ref="B31:D31"/>
    <mergeCell ref="B32:D32"/>
    <mergeCell ref="B33:D33"/>
    <mergeCell ref="A1:G1"/>
    <mergeCell ref="A2:G2"/>
    <mergeCell ref="A3:G3"/>
    <mergeCell ref="A5:G5"/>
    <mergeCell ref="A22:G2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Kassenbuch</vt:lpstr>
      <vt:lpstr>Monatsauswertung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2026-08-19T10:46:09Z</dcterms:created>
  <dcterms:modified xsi:type="dcterms:W3CDTF">2026-08-21T09:17:17Z</dcterms:modified>
  <dc:language>en-US</dc:language>
</cp:coreProperties>
</file>