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B743CC72-1F99-427F-8A70-B4BFB02336C8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Organigramm" sheetId="1" r:id="rId1"/>
    <sheet name="Mitarbeiterdaten" sheetId="2" r:id="rId2"/>
    <sheet name="Kennzahlen" sheetId="3" r:id="rId3"/>
    <sheet name="Listen" sheetId="4" r:id="rId4"/>
  </sheets>
  <definedNames>
    <definedName name="_xlnm._FilterDatabase" localSheetId="1" hidden="1">Mitarbeiterdaten!$B$7:$S$67</definedName>
    <definedName name="_xlnm.Print_Area" localSheetId="0">Organigramm!$A$1:$AG$40</definedName>
    <definedName name="_xlnm.Print_Titles" localSheetId="1">Mitarbeiterdaten!$7:$7</definedName>
    <definedName name="Liste_Abteilung">OFFSET(Listen!$B$8,0,0,MAX(1,COUNTA(Listen!$B$8:$B$40)),1)</definedName>
    <definedName name="Liste_Beschaeftigung">OFFSET(Listen!$F$8,0,0,MAX(1,COUNTA(Listen!$F$8:$F$40)),1)</definedName>
    <definedName name="Liste_Standort">OFFSET(Listen!$D$8,0,0,MAX(1,COUNTA(Listen!$D$8:$D$40)),1)</definedName>
    <definedName name="Liste_Status">OFFSET(Listen!$H$8,0,0,MAX(1,COUNTA(Listen!$H$8:$H$40)),1)</definedName>
    <definedName name="Pos_IDs">OFFSET(Mitarbeiterdaten!$B$8,0,0,MAX(1,COUNTA(Mitarbeiterdaten!$B$8:$B$67)),1)</definedName>
    <definedName name="Stammdaten">Mitarbeiterdaten!$B$8:$T$67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5" i="3" l="1"/>
  <c r="B34" i="3"/>
  <c r="D34" i="3" s="1"/>
  <c r="B33" i="3"/>
  <c r="B32" i="3"/>
  <c r="B31" i="3"/>
  <c r="B30" i="3"/>
  <c r="D30" i="3" s="1"/>
  <c r="B29" i="3"/>
  <c r="B24" i="3"/>
  <c r="C24" i="3" s="1"/>
  <c r="B23" i="3"/>
  <c r="F23" i="3" s="1"/>
  <c r="B22" i="3"/>
  <c r="B21" i="3"/>
  <c r="B20" i="3"/>
  <c r="D20" i="3" s="1"/>
  <c r="B19" i="3"/>
  <c r="F19" i="3" s="1"/>
  <c r="B18" i="3"/>
  <c r="F18" i="3" s="1"/>
  <c r="B17" i="3"/>
  <c r="D17" i="3" s="1"/>
  <c r="D11" i="3"/>
  <c r="B11" i="3"/>
  <c r="J6" i="3"/>
  <c r="G6" i="3"/>
  <c r="D6" i="3"/>
  <c r="B6" i="3"/>
  <c r="T67" i="2"/>
  <c r="R67" i="2"/>
  <c r="Q67" i="2"/>
  <c r="P67" i="2"/>
  <c r="H67" i="2"/>
  <c r="F67" i="2"/>
  <c r="T66" i="2"/>
  <c r="R66" i="2"/>
  <c r="Q66" i="2"/>
  <c r="P66" i="2"/>
  <c r="H66" i="2"/>
  <c r="F66" i="2"/>
  <c r="T65" i="2"/>
  <c r="R65" i="2"/>
  <c r="Q65" i="2"/>
  <c r="P65" i="2"/>
  <c r="H65" i="2"/>
  <c r="F65" i="2"/>
  <c r="T64" i="2"/>
  <c r="R64" i="2"/>
  <c r="Q64" i="2"/>
  <c r="P64" i="2"/>
  <c r="H64" i="2"/>
  <c r="F64" i="2"/>
  <c r="T63" i="2"/>
  <c r="R63" i="2"/>
  <c r="Q63" i="2"/>
  <c r="P63" i="2"/>
  <c r="H63" i="2"/>
  <c r="F63" i="2"/>
  <c r="T62" i="2"/>
  <c r="R62" i="2"/>
  <c r="Q62" i="2"/>
  <c r="P62" i="2"/>
  <c r="H62" i="2"/>
  <c r="F62" i="2"/>
  <c r="T61" i="2"/>
  <c r="R61" i="2"/>
  <c r="Q61" i="2"/>
  <c r="P61" i="2"/>
  <c r="H61" i="2"/>
  <c r="F61" i="2"/>
  <c r="T60" i="2"/>
  <c r="R60" i="2"/>
  <c r="Q60" i="2"/>
  <c r="P60" i="2"/>
  <c r="H60" i="2"/>
  <c r="F60" i="2"/>
  <c r="T59" i="2"/>
  <c r="R59" i="2"/>
  <c r="Q59" i="2"/>
  <c r="P59" i="2"/>
  <c r="H59" i="2"/>
  <c r="F59" i="2"/>
  <c r="T58" i="2"/>
  <c r="R58" i="2"/>
  <c r="Q58" i="2"/>
  <c r="P58" i="2"/>
  <c r="H58" i="2"/>
  <c r="F58" i="2"/>
  <c r="T57" i="2"/>
  <c r="R57" i="2"/>
  <c r="Q57" i="2"/>
  <c r="P57" i="2"/>
  <c r="H57" i="2"/>
  <c r="F57" i="2"/>
  <c r="T56" i="2"/>
  <c r="R56" i="2"/>
  <c r="Q56" i="2"/>
  <c r="P56" i="2"/>
  <c r="H56" i="2"/>
  <c r="F56" i="2"/>
  <c r="T55" i="2"/>
  <c r="R55" i="2"/>
  <c r="Q55" i="2"/>
  <c r="P55" i="2"/>
  <c r="H55" i="2"/>
  <c r="F55" i="2"/>
  <c r="T54" i="2"/>
  <c r="R54" i="2"/>
  <c r="Q54" i="2"/>
  <c r="P54" i="2"/>
  <c r="H54" i="2"/>
  <c r="F54" i="2"/>
  <c r="T53" i="2"/>
  <c r="R53" i="2"/>
  <c r="Q53" i="2"/>
  <c r="P53" i="2"/>
  <c r="H53" i="2"/>
  <c r="F53" i="2"/>
  <c r="T52" i="2"/>
  <c r="R52" i="2"/>
  <c r="Q52" i="2"/>
  <c r="P52" i="2"/>
  <c r="H52" i="2"/>
  <c r="F52" i="2"/>
  <c r="T51" i="2"/>
  <c r="R51" i="2"/>
  <c r="Q51" i="2"/>
  <c r="P51" i="2"/>
  <c r="H51" i="2"/>
  <c r="F51" i="2"/>
  <c r="T50" i="2"/>
  <c r="R50" i="2"/>
  <c r="Q50" i="2"/>
  <c r="P50" i="2"/>
  <c r="H50" i="2"/>
  <c r="F50" i="2"/>
  <c r="T49" i="2"/>
  <c r="R49" i="2"/>
  <c r="Q49" i="2"/>
  <c r="P49" i="2"/>
  <c r="H49" i="2"/>
  <c r="F49" i="2"/>
  <c r="T48" i="2"/>
  <c r="R48" i="2"/>
  <c r="Q48" i="2"/>
  <c r="P48" i="2"/>
  <c r="H48" i="2"/>
  <c r="F48" i="2"/>
  <c r="T47" i="2"/>
  <c r="R47" i="2"/>
  <c r="Q47" i="2"/>
  <c r="P47" i="2"/>
  <c r="H47" i="2"/>
  <c r="F47" i="2"/>
  <c r="T46" i="2"/>
  <c r="R46" i="2"/>
  <c r="Q46" i="2"/>
  <c r="P46" i="2"/>
  <c r="H46" i="2"/>
  <c r="F46" i="2"/>
  <c r="T45" i="2"/>
  <c r="R45" i="2"/>
  <c r="Q45" i="2"/>
  <c r="P45" i="2"/>
  <c r="H45" i="2"/>
  <c r="F45" i="2"/>
  <c r="T44" i="2"/>
  <c r="R44" i="2"/>
  <c r="Q44" i="2"/>
  <c r="P44" i="2"/>
  <c r="H44" i="2"/>
  <c r="F44" i="2"/>
  <c r="T43" i="2"/>
  <c r="R43" i="2"/>
  <c r="Q43" i="2"/>
  <c r="P43" i="2"/>
  <c r="H43" i="2"/>
  <c r="F43" i="2"/>
  <c r="T42" i="2"/>
  <c r="R42" i="2"/>
  <c r="Q42" i="2"/>
  <c r="P42" i="2"/>
  <c r="H42" i="2"/>
  <c r="F42" i="2"/>
  <c r="T41" i="2"/>
  <c r="R41" i="2"/>
  <c r="Q41" i="2"/>
  <c r="P41" i="2"/>
  <c r="H41" i="2"/>
  <c r="F41" i="2"/>
  <c r="T40" i="2"/>
  <c r="R40" i="2"/>
  <c r="P40" i="2"/>
  <c r="Q40" i="2" s="1"/>
  <c r="AB31" i="1" s="1"/>
  <c r="H40" i="2"/>
  <c r="F40" i="2"/>
  <c r="AB30" i="1" s="1"/>
  <c r="T39" i="2"/>
  <c r="R39" i="2"/>
  <c r="P39" i="2"/>
  <c r="T38" i="2" s="1"/>
  <c r="H39" i="2"/>
  <c r="F39" i="2"/>
  <c r="R38" i="2"/>
  <c r="P38" i="2"/>
  <c r="Q38" i="2" s="1"/>
  <c r="AB26" i="1" s="1"/>
  <c r="H38" i="2"/>
  <c r="F38" i="2"/>
  <c r="T37" i="2"/>
  <c r="P37" i="2"/>
  <c r="Q37" i="2" s="1"/>
  <c r="H37" i="2"/>
  <c r="F37" i="2"/>
  <c r="R37" i="2" s="1"/>
  <c r="T36" i="2"/>
  <c r="R36" i="2"/>
  <c r="P36" i="2"/>
  <c r="Q36" i="2" s="1"/>
  <c r="AB21" i="1" s="1"/>
  <c r="H36" i="2"/>
  <c r="F36" i="2"/>
  <c r="T35" i="2"/>
  <c r="P35" i="2"/>
  <c r="H35" i="2"/>
  <c r="F35" i="2"/>
  <c r="R35" i="2" s="1"/>
  <c r="T34" i="2"/>
  <c r="R34" i="2"/>
  <c r="P34" i="2"/>
  <c r="Q34" i="2" s="1"/>
  <c r="H34" i="2"/>
  <c r="F34" i="2"/>
  <c r="T33" i="2"/>
  <c r="R33" i="2"/>
  <c r="P33" i="2"/>
  <c r="Q33" i="2" s="1"/>
  <c r="T31" i="1" s="1"/>
  <c r="H33" i="2"/>
  <c r="F33" i="2"/>
  <c r="T32" i="2"/>
  <c r="Q32" i="2"/>
  <c r="P32" i="2"/>
  <c r="H32" i="2"/>
  <c r="F32" i="2"/>
  <c r="R32" i="2" s="1"/>
  <c r="T31" i="2"/>
  <c r="P31" i="2"/>
  <c r="Q31" i="2" s="1"/>
  <c r="T26" i="1" s="1"/>
  <c r="H31" i="2"/>
  <c r="F31" i="2"/>
  <c r="T25" i="1" s="1"/>
  <c r="T30" i="2"/>
  <c r="P30" i="2"/>
  <c r="T29" i="2" s="1"/>
  <c r="H30" i="2"/>
  <c r="F30" i="2"/>
  <c r="R30" i="2" s="1"/>
  <c r="R29" i="2"/>
  <c r="P29" i="2"/>
  <c r="T28" i="2" s="1"/>
  <c r="H29" i="2"/>
  <c r="F29" i="2"/>
  <c r="T20" i="1" s="1"/>
  <c r="P28" i="2"/>
  <c r="Q28" i="2" s="1"/>
  <c r="R16" i="1" s="1"/>
  <c r="H28" i="2"/>
  <c r="F28" i="2"/>
  <c r="R28" i="2" s="1"/>
  <c r="T27" i="2"/>
  <c r="P27" i="2"/>
  <c r="Q27" i="2" s="1"/>
  <c r="H27" i="2"/>
  <c r="F27" i="2"/>
  <c r="R27" i="2" s="1"/>
  <c r="T26" i="2"/>
  <c r="R26" i="2"/>
  <c r="P26" i="2"/>
  <c r="Q26" i="2" s="1"/>
  <c r="L31" i="1" s="1"/>
  <c r="H26" i="2"/>
  <c r="F26" i="2"/>
  <c r="T25" i="2"/>
  <c r="P25" i="2"/>
  <c r="Q25" i="2" s="1"/>
  <c r="H25" i="2"/>
  <c r="F25" i="2"/>
  <c r="R25" i="2" s="1"/>
  <c r="T24" i="2"/>
  <c r="P24" i="2"/>
  <c r="Q24" i="2" s="1"/>
  <c r="H24" i="2"/>
  <c r="F24" i="2"/>
  <c r="R24" i="2" s="1"/>
  <c r="T23" i="2"/>
  <c r="R23" i="2"/>
  <c r="P23" i="2"/>
  <c r="Q23" i="2" s="1"/>
  <c r="L26" i="1" s="1"/>
  <c r="H23" i="2"/>
  <c r="F23" i="2"/>
  <c r="T22" i="2"/>
  <c r="Q22" i="2"/>
  <c r="P22" i="2"/>
  <c r="H22" i="2"/>
  <c r="F22" i="2"/>
  <c r="R22" i="2" s="1"/>
  <c r="T21" i="2"/>
  <c r="P21" i="2"/>
  <c r="Q21" i="2" s="1"/>
  <c r="H21" i="2"/>
  <c r="F21" i="2"/>
  <c r="R21" i="2" s="1"/>
  <c r="T20" i="2"/>
  <c r="P20" i="2"/>
  <c r="T19" i="2" s="1"/>
  <c r="H20" i="2"/>
  <c r="F20" i="2"/>
  <c r="R20" i="2" s="1"/>
  <c r="R19" i="2"/>
  <c r="P19" i="2"/>
  <c r="Q19" i="2" s="1"/>
  <c r="J16" i="1" s="1"/>
  <c r="H19" i="2"/>
  <c r="F19" i="2"/>
  <c r="T18" i="2"/>
  <c r="P18" i="2"/>
  <c r="Q18" i="2" s="1"/>
  <c r="H18" i="2"/>
  <c r="F18" i="2"/>
  <c r="R18" i="2" s="1"/>
  <c r="T17" i="2"/>
  <c r="P17" i="2"/>
  <c r="Q17" i="2" s="1"/>
  <c r="D31" i="1" s="1"/>
  <c r="H17" i="2"/>
  <c r="F17" i="2"/>
  <c r="R17" i="2" s="1"/>
  <c r="T16" i="2"/>
  <c r="R16" i="2"/>
  <c r="P16" i="2"/>
  <c r="Q16" i="2" s="1"/>
  <c r="H16" i="2"/>
  <c r="F16" i="2"/>
  <c r="T15" i="2"/>
  <c r="P15" i="2"/>
  <c r="Q15" i="2" s="1"/>
  <c r="H15" i="2"/>
  <c r="F15" i="2"/>
  <c r="R15" i="2" s="1"/>
  <c r="T14" i="2"/>
  <c r="P14" i="2"/>
  <c r="Q14" i="2" s="1"/>
  <c r="D26" i="1" s="1"/>
  <c r="H14" i="2"/>
  <c r="F14" i="2"/>
  <c r="R14" i="2" s="1"/>
  <c r="T13" i="2"/>
  <c r="R13" i="2"/>
  <c r="P13" i="2"/>
  <c r="T11" i="2" s="1"/>
  <c r="H13" i="2"/>
  <c r="F13" i="2"/>
  <c r="T12" i="2"/>
  <c r="Q12" i="2"/>
  <c r="P12" i="2"/>
  <c r="H12" i="2"/>
  <c r="F12" i="2"/>
  <c r="R12" i="2" s="1"/>
  <c r="P11" i="2"/>
  <c r="Q11" i="2" s="1"/>
  <c r="D21" i="1" s="1"/>
  <c r="H11" i="2"/>
  <c r="F11" i="2"/>
  <c r="R11" i="2" s="1"/>
  <c r="P10" i="2"/>
  <c r="B5" i="2" s="1"/>
  <c r="H10" i="2"/>
  <c r="F10" i="2"/>
  <c r="B15" i="1" s="1"/>
  <c r="T9" i="2"/>
  <c r="R9" i="2"/>
  <c r="P9" i="2"/>
  <c r="T8" i="2" s="1"/>
  <c r="H9" i="2"/>
  <c r="F9" i="2"/>
  <c r="R8" i="2"/>
  <c r="P8" i="2"/>
  <c r="J11" i="3" s="1"/>
  <c r="H8" i="2"/>
  <c r="F41" i="3" s="1"/>
  <c r="F8" i="2"/>
  <c r="N8" i="1" s="1"/>
  <c r="T30" i="1"/>
  <c r="L30" i="1"/>
  <c r="AB29" i="1"/>
  <c r="T29" i="1"/>
  <c r="L29" i="1"/>
  <c r="D29" i="1"/>
  <c r="AB25" i="1"/>
  <c r="L25" i="1"/>
  <c r="AB24" i="1"/>
  <c r="T24" i="1"/>
  <c r="L24" i="1"/>
  <c r="D24" i="1"/>
  <c r="AB20" i="1"/>
  <c r="AB19" i="1"/>
  <c r="T19" i="1"/>
  <c r="L19" i="1"/>
  <c r="D19" i="1"/>
  <c r="Z15" i="1"/>
  <c r="R15" i="1"/>
  <c r="J15" i="1"/>
  <c r="Z14" i="1"/>
  <c r="R14" i="1"/>
  <c r="J14" i="1"/>
  <c r="B14" i="1"/>
  <c r="W8" i="1"/>
  <c r="W7" i="1"/>
  <c r="N7" i="1"/>
  <c r="V3" i="1"/>
  <c r="E17" i="3" l="1"/>
  <c r="F17" i="3"/>
  <c r="C19" i="3"/>
  <c r="Q35" i="2"/>
  <c r="Z16" i="1" s="1"/>
  <c r="Q13" i="2"/>
  <c r="Q20" i="2"/>
  <c r="L21" i="1" s="1"/>
  <c r="R31" i="2"/>
  <c r="D20" i="1"/>
  <c r="L20" i="1"/>
  <c r="Q9" i="2"/>
  <c r="W9" i="1" s="1"/>
  <c r="Q29" i="2"/>
  <c r="T21" i="1" s="1"/>
  <c r="Q39" i="2"/>
  <c r="C17" i="3"/>
  <c r="E20" i="3"/>
  <c r="E30" i="3"/>
  <c r="E34" i="3"/>
  <c r="Q30" i="2"/>
  <c r="D25" i="1"/>
  <c r="F20" i="3"/>
  <c r="C42" i="3"/>
  <c r="Q10" i="2"/>
  <c r="B16" i="1" s="1"/>
  <c r="D30" i="1"/>
  <c r="D42" i="3"/>
  <c r="D24" i="3"/>
  <c r="C31" i="3"/>
  <c r="C35" i="3"/>
  <c r="E42" i="3"/>
  <c r="C21" i="3"/>
  <c r="E24" i="3"/>
  <c r="D31" i="3"/>
  <c r="D35" i="3"/>
  <c r="F42" i="3"/>
  <c r="D21" i="3"/>
  <c r="F24" i="3"/>
  <c r="E31" i="3"/>
  <c r="E35" i="3"/>
  <c r="C18" i="3"/>
  <c r="E21" i="3"/>
  <c r="C43" i="3"/>
  <c r="D18" i="3"/>
  <c r="D25" i="3" s="1"/>
  <c r="F21" i="3"/>
  <c r="D43" i="3"/>
  <c r="E18" i="3"/>
  <c r="C32" i="3"/>
  <c r="E43" i="3"/>
  <c r="D32" i="3"/>
  <c r="F43" i="3"/>
  <c r="C22" i="3"/>
  <c r="E32" i="3"/>
  <c r="D22" i="3"/>
  <c r="C40" i="3"/>
  <c r="C44" i="3"/>
  <c r="E22" i="3"/>
  <c r="D40" i="3"/>
  <c r="D44" i="3"/>
  <c r="D19" i="3"/>
  <c r="F22" i="3"/>
  <c r="C29" i="3"/>
  <c r="C33" i="3"/>
  <c r="E40" i="3"/>
  <c r="E44" i="3"/>
  <c r="R10" i="2"/>
  <c r="T10" i="2"/>
  <c r="Q8" i="2"/>
  <c r="N9" i="1" s="1"/>
  <c r="E19" i="3"/>
  <c r="D29" i="3"/>
  <c r="D33" i="3"/>
  <c r="F40" i="3"/>
  <c r="F44" i="3"/>
  <c r="E29" i="3"/>
  <c r="E33" i="3"/>
  <c r="C23" i="3"/>
  <c r="C41" i="3"/>
  <c r="G11" i="3"/>
  <c r="D23" i="3"/>
  <c r="D41" i="3"/>
  <c r="C20" i="3"/>
  <c r="E23" i="3"/>
  <c r="C30" i="3"/>
  <c r="C34" i="3"/>
  <c r="E41" i="3"/>
  <c r="F25" i="3" l="1"/>
  <c r="E25" i="3"/>
  <c r="C36" i="3"/>
  <c r="D45" i="3"/>
  <c r="F45" i="3"/>
  <c r="C45" i="3"/>
  <c r="E36" i="3"/>
  <c r="C25" i="3"/>
  <c r="D36" i="3"/>
  <c r="G25" i="3" l="1"/>
  <c r="G19" i="3"/>
  <c r="G22" i="3"/>
  <c r="G21" i="3"/>
  <c r="G23" i="3"/>
  <c r="G18" i="3"/>
  <c r="G17" i="3"/>
  <c r="G20" i="3"/>
  <c r="G24" i="3"/>
  <c r="G45" i="3"/>
  <c r="G44" i="3"/>
  <c r="G40" i="3"/>
  <c r="G43" i="3"/>
  <c r="G42" i="3"/>
  <c r="G41" i="3"/>
  <c r="F36" i="3"/>
  <c r="F33" i="3"/>
  <c r="F29" i="3"/>
  <c r="F32" i="3"/>
  <c r="F34" i="3"/>
  <c r="F31" i="3"/>
  <c r="F30" i="3"/>
  <c r="F35" i="3"/>
</calcChain>
</file>

<file path=xl/sharedStrings.xml><?xml version="1.0" encoding="utf-8"?>
<sst xmlns="http://schemas.openxmlformats.org/spreadsheetml/2006/main" count="464" uniqueCount="249">
  <si>
    <t>Musterfirma GmbH</t>
  </si>
  <si>
    <t>Aufbauorganisation  ·  Stand: 01.01.2026  ·  Version 1.0</t>
  </si>
  <si>
    <t>Pos-ID in das hellblaue Feld eintragen oder auswählen – Bezeichnung, Name und Teamgröße werden automatisch übernommen.</t>
  </si>
  <si>
    <t>STABSSTELLE</t>
  </si>
  <si>
    <t>P-100</t>
  </si>
  <si>
    <t>P-110</t>
  </si>
  <si>
    <t>P-200</t>
  </si>
  <si>
    <t>P-300</t>
  </si>
  <si>
    <t>P-400</t>
  </si>
  <si>
    <t>P-500</t>
  </si>
  <si>
    <t>P-210</t>
  </si>
  <si>
    <t>P-310</t>
  </si>
  <si>
    <t>P-410</t>
  </si>
  <si>
    <t>P-510</t>
  </si>
  <si>
    <t>P-220</t>
  </si>
  <si>
    <t>P-320</t>
  </si>
  <si>
    <t>P-420</t>
  </si>
  <si>
    <t>P-520</t>
  </si>
  <si>
    <t>P-230</t>
  </si>
  <si>
    <t>P-330</t>
  </si>
  <si>
    <t>P-430</t>
  </si>
  <si>
    <t>P-530</t>
  </si>
  <si>
    <t>LEGENDE</t>
  </si>
  <si>
    <t>Ebene 1–2  ·  Geschäftsführung und Bereichsleitung</t>
  </si>
  <si>
    <t>Ebene 3  ·  Teamleitung</t>
  </si>
  <si>
    <t>Stabsstelle  ·  beratend, ohne Weisungsbefugnis</t>
  </si>
  <si>
    <t>Vakante Position  ·  Nachbesetzung offen</t>
  </si>
  <si>
    <t>Hellblaue Felder = Eingabe der Pos-ID (Dropdown). Alle übrigen Zellen enthalten Formeln und sollten nicht überschrieben werden.</t>
  </si>
  <si>
    <t>Ebene 4 (Mitarbeitende) wird nicht einzeln dargestellt – jedes Kästchen weist mit »Team n« alle nachgelagerten Ebenen aus.</t>
  </si>
  <si>
    <t>Struktur ändern: Position im Blatt »Mitarbeiterdaten« anlegen, danach deren Pos-ID in ein Kästchen eintragen (leeren: Pos-ID löschen).</t>
  </si>
  <si>
    <t>MITARBEITER- UND POSITIONSDATEN</t>
  </si>
  <si>
    <t>Musterfirma GmbH  ·  Geschäftsjahr 2026</t>
  </si>
  <si>
    <t>Zentrale Datenbasis – das Organigramm und alle Kennzahlen greifen ausschließlich auf dieses Blatt zu.</t>
  </si>
  <si>
    <t>Weiße Felder ausfüllen  ·  graue Spalten enthalten Formeln  ·  Auswahllisten im Blatt »Listen«  ·  Pflicht: Pos-ID, Bezeichnung, Berichtet an</t>
  </si>
  <si>
    <t>Pos-ID</t>
  </si>
  <si>
    <t>Positionsbezeichnung</t>
  </si>
  <si>
    <t>Vorname</t>
  </si>
  <si>
    <t>Nachname</t>
  </si>
  <si>
    <t>Name
(automatisch)</t>
  </si>
  <si>
    <t>Berichtet an
(Pos-ID)</t>
  </si>
  <si>
    <t>Ebene</t>
  </si>
  <si>
    <t>Abteilung</t>
  </si>
  <si>
    <t>Standort</t>
  </si>
  <si>
    <t>Beschäftigungs-
art</t>
  </si>
  <si>
    <t>FTE</t>
  </si>
  <si>
    <t>Status</t>
  </si>
  <si>
    <t>Eintritt</t>
  </si>
  <si>
    <t>Kosten-
stelle</t>
  </si>
  <si>
    <t>Direkt
unterstellt</t>
  </si>
  <si>
    <t>Gesamt
unterstellt</t>
  </si>
  <si>
    <t>Datenprüfung
(automatisch)</t>
  </si>
  <si>
    <t>Bemerkung</t>
  </si>
  <si>
    <t>Geschäftsführung</t>
  </si>
  <si>
    <t>Katrin</t>
  </si>
  <si>
    <t>Vogel</t>
  </si>
  <si>
    <t>München</t>
  </si>
  <si>
    <t>Vollzeit</t>
  </si>
  <si>
    <t>Besetzt</t>
  </si>
  <si>
    <t>KST-1000</t>
  </si>
  <si>
    <t>Gesamtverantwortung</t>
  </si>
  <si>
    <t>Assistenz der Geschäftsführung</t>
  </si>
  <si>
    <t>Miriam</t>
  </si>
  <si>
    <t>Klose</t>
  </si>
  <si>
    <t>Teilzeit</t>
  </si>
  <si>
    <t>Stabsstelle, ohne Weisungsbefugnis</t>
  </si>
  <si>
    <t>Leitung Vertrieb &amp; Marketing</t>
  </si>
  <si>
    <t>Daniel</t>
  </si>
  <si>
    <t>Brenner</t>
  </si>
  <si>
    <t>Vertrieb &amp; Marketing</t>
  </si>
  <si>
    <t>KST-2000</t>
  </si>
  <si>
    <t>Teamleitung Innendienst</t>
  </si>
  <si>
    <t>Jonas</t>
  </si>
  <si>
    <t>Pfeiffer</t>
  </si>
  <si>
    <t>KST-2100</t>
  </si>
  <si>
    <t>P-211</t>
  </si>
  <si>
    <t>Auftragsmanagement</t>
  </si>
  <si>
    <t>Marco</t>
  </si>
  <si>
    <t>Feldmann</t>
  </si>
  <si>
    <t>P-212</t>
  </si>
  <si>
    <t>Kundenbetreuung Innendienst</t>
  </si>
  <si>
    <t>Hanna</t>
  </si>
  <si>
    <t>Zimmer</t>
  </si>
  <si>
    <t>Teamleitung Außendienst</t>
  </si>
  <si>
    <t>Lena</t>
  </si>
  <si>
    <t>Schuster</t>
  </si>
  <si>
    <t>Hamburg</t>
  </si>
  <si>
    <t>KST-2200</t>
  </si>
  <si>
    <t>P-221</t>
  </si>
  <si>
    <t>Key-Account-Betreuung</t>
  </si>
  <si>
    <t>Sven</t>
  </si>
  <si>
    <t>Rothe</t>
  </si>
  <si>
    <t>P-222</t>
  </si>
  <si>
    <t>Gebietsbetreuung Süd</t>
  </si>
  <si>
    <t>Alina</t>
  </si>
  <si>
    <t>Brückner</t>
  </si>
  <si>
    <t>Neubesetzung 02/2026</t>
  </si>
  <si>
    <t>Teamleitung Marketing</t>
  </si>
  <si>
    <t>Vakant</t>
  </si>
  <si>
    <t>KST-2300</t>
  </si>
  <si>
    <t>Ausschreibung läuft seit 01/2026</t>
  </si>
  <si>
    <t>P-231</t>
  </si>
  <si>
    <t>Online-Marketing</t>
  </si>
  <si>
    <t>Tim</t>
  </si>
  <si>
    <t>Haase</t>
  </si>
  <si>
    <t>Kommissarisch geführt von P-200</t>
  </si>
  <si>
    <t>Leitung Technik &amp; Betrieb</t>
  </si>
  <si>
    <t>Sabine</t>
  </si>
  <si>
    <t>Hartwig</t>
  </si>
  <si>
    <t>Technik &amp; Betrieb</t>
  </si>
  <si>
    <t>KST-3000</t>
  </si>
  <si>
    <t>Teamleitung Projekte</t>
  </si>
  <si>
    <t>Murat</t>
  </si>
  <si>
    <t>Özdemir</t>
  </si>
  <si>
    <t>KST-3100</t>
  </si>
  <si>
    <t>P-311</t>
  </si>
  <si>
    <t>Projektsteuerung</t>
  </si>
  <si>
    <t>Robert</t>
  </si>
  <si>
    <t>Kiesel</t>
  </si>
  <si>
    <t>P-312</t>
  </si>
  <si>
    <t>Technische Planung</t>
  </si>
  <si>
    <t>Elena</t>
  </si>
  <si>
    <t>Wagner</t>
  </si>
  <si>
    <t>Wien</t>
  </si>
  <si>
    <t>Teamleitung Service &amp; Support</t>
  </si>
  <si>
    <t>Andrea</t>
  </si>
  <si>
    <t>Lindner</t>
  </si>
  <si>
    <t>KST-3200</t>
  </si>
  <si>
    <t>P-321</t>
  </si>
  <si>
    <t>Kundenservice</t>
  </si>
  <si>
    <t>Bianca</t>
  </si>
  <si>
    <t>Sommer</t>
  </si>
  <si>
    <t>Elternzeit / Vertretung</t>
  </si>
  <si>
    <t>Vertretung bis 09/2026</t>
  </si>
  <si>
    <t>P-322</t>
  </si>
  <si>
    <t>Technischer Support</t>
  </si>
  <si>
    <t>Kevin</t>
  </si>
  <si>
    <t>Baumgart</t>
  </si>
  <si>
    <t>Teamleitung Qualitätsmanagement</t>
  </si>
  <si>
    <t>Peter</t>
  </si>
  <si>
    <t>Nowak</t>
  </si>
  <si>
    <t>KST-3300</t>
  </si>
  <si>
    <t>P-331</t>
  </si>
  <si>
    <t>Qualitätsprüfung</t>
  </si>
  <si>
    <t>Denise</t>
  </si>
  <si>
    <t>Achterberg</t>
  </si>
  <si>
    <t>Leitung Finanzen &amp; Verwaltung</t>
  </si>
  <si>
    <t>Ercan</t>
  </si>
  <si>
    <t>Yilmaz</t>
  </si>
  <si>
    <t>Finanzen &amp; Verwaltung</t>
  </si>
  <si>
    <t>KST-4000</t>
  </si>
  <si>
    <t>Teamleitung Buchhaltung</t>
  </si>
  <si>
    <t>Silke</t>
  </si>
  <si>
    <t>Brandt</t>
  </si>
  <si>
    <t>KST-4100</t>
  </si>
  <si>
    <t>P-411</t>
  </si>
  <si>
    <t>Debitoren- &amp; Kreditorenbuchhaltung</t>
  </si>
  <si>
    <t>Olaf</t>
  </si>
  <si>
    <t>Kranz</t>
  </si>
  <si>
    <t>Teamleitung Controlling</t>
  </si>
  <si>
    <t>Fabian</t>
  </si>
  <si>
    <t>Meurer</t>
  </si>
  <si>
    <t>KST-4200</t>
  </si>
  <si>
    <t>P-421</t>
  </si>
  <si>
    <t>Controlling &amp; Reporting</t>
  </si>
  <si>
    <t>Yvonne</t>
  </si>
  <si>
    <t>Maier</t>
  </si>
  <si>
    <t>Berlin</t>
  </si>
  <si>
    <t>Teamleitung IT</t>
  </si>
  <si>
    <t>Nils</t>
  </si>
  <si>
    <t>Grabowski</t>
  </si>
  <si>
    <t>KST-4300</t>
  </si>
  <si>
    <t>P-431</t>
  </si>
  <si>
    <t>IT-Administration</t>
  </si>
  <si>
    <t>Timo</t>
  </si>
  <si>
    <t>Reichert</t>
  </si>
  <si>
    <t>Remote</t>
  </si>
  <si>
    <t>Leitung Personal</t>
  </si>
  <si>
    <t>Nadine</t>
  </si>
  <si>
    <t>Kowalski</t>
  </si>
  <si>
    <t>Personal</t>
  </si>
  <si>
    <t>KST-5000</t>
  </si>
  <si>
    <t>Teamleitung Recruiting</t>
  </si>
  <si>
    <t>Julia</t>
  </si>
  <si>
    <t>Stein</t>
  </si>
  <si>
    <t>KST-5100</t>
  </si>
  <si>
    <t>P-511</t>
  </si>
  <si>
    <t>Recruiting &amp; Employer Branding</t>
  </si>
  <si>
    <t>Sarah</t>
  </si>
  <si>
    <t>Wendt</t>
  </si>
  <si>
    <t>Teamleitung Personalentwicklung</t>
  </si>
  <si>
    <t>Ralf</t>
  </si>
  <si>
    <t>Dittmann</t>
  </si>
  <si>
    <t>KST-5200</t>
  </si>
  <si>
    <t>P-521</t>
  </si>
  <si>
    <t>Weiterbildung &amp; Qualifizierung</t>
  </si>
  <si>
    <t>Ben</t>
  </si>
  <si>
    <t>Hofstetter</t>
  </si>
  <si>
    <t>Teamleitung Entgeltabrechnung</t>
  </si>
  <si>
    <t>In Besetzung</t>
  </si>
  <si>
    <t>KST-5300</t>
  </si>
  <si>
    <t>Besetzung geplant zum 01.07.2026</t>
  </si>
  <si>
    <t>Hinweis: Die Tabelle ist bis Zeile 67 vorbereitet. Neue Positionen einfach in der nächsten freien Zeile ergänzen – alle Formeln, Auswahllisten und Kennzahlen sind bereits hinterlegt.</t>
  </si>
  <si>
    <t>KENNZAHLEN &amp; AUSWERTUNG</t>
  </si>
  <si>
    <t>Geschäftsjahr 2026</t>
  </si>
  <si>
    <t>Alle Werte aktualisieren sich automatisch aus dem Blatt »Mitarbeiterdaten« – hier ist keine Eingabe nötig.</t>
  </si>
  <si>
    <t>POSITIONEN GESAMT</t>
  </si>
  <si>
    <t>BESETZT</t>
  </si>
  <si>
    <t>OFFENE STELLEN</t>
  </si>
  <si>
    <t>VAKANZQUOTE</t>
  </si>
  <si>
    <t>inkl. Stabsstelle</t>
  </si>
  <si>
    <t>aktiv beschäftigt</t>
  </si>
  <si>
    <t>vakant / in Besetzung</t>
  </si>
  <si>
    <t>Richtwert: unter 5 %</t>
  </si>
  <si>
    <t>FTE GESAMT (SOLL)</t>
  </si>
  <si>
    <t>FTE BESETZT</t>
  </si>
  <si>
    <t>FÜHRUNGSKRÄFTE</t>
  </si>
  <si>
    <t>Ø FÜHRUNGSSPANNE</t>
  </si>
  <si>
    <t>alle Planstellen</t>
  </si>
  <si>
    <t>tatsächliche Kapazität</t>
  </si>
  <si>
    <t>mit mind. 1 Direct Report</t>
  </si>
  <si>
    <t>Direktunterstellte je FK</t>
  </si>
  <si>
    <t>Auswertung nach Abteilung</t>
  </si>
  <si>
    <t>Positionen</t>
  </si>
  <si>
    <t>Offen</t>
  </si>
  <si>
    <t>Anteil</t>
  </si>
  <si>
    <t>Gesamt</t>
  </si>
  <si>
    <t>Auswertung nach Standort</t>
  </si>
  <si>
    <t>Auswertung nach Hierarchieebene</t>
  </si>
  <si>
    <t>Führungs-
kräfte</t>
  </si>
  <si>
    <t>Ø Führungs-
spanne</t>
  </si>
  <si>
    <t>Ebene 1 · Geschäftsführung</t>
  </si>
  <si>
    <t>Ebene 2 · Bereichsleitung</t>
  </si>
  <si>
    <t>Ebene 3 · Teamleitung</t>
  </si>
  <si>
    <t>Ebene 4 · Mitarbeitende</t>
  </si>
  <si>
    <t>Ebene 5 · weitere</t>
  </si>
  <si>
    <t>Lesehilfe: Eine Führungsspanne von mehr als 8 Direktunterstellten wird im Datenblatt farblich markiert – sie ist ein Hinweis auf mögliche Überlastung oder eine zu flache Struktur.</t>
  </si>
  <si>
    <t>AUSWAHLLISTEN</t>
  </si>
  <si>
    <t>Steuerung der Dropdowns</t>
  </si>
  <si>
    <t>Diese Einträge erscheinen als Auswahl im Blatt »Mitarbeiterdaten«.</t>
  </si>
  <si>
    <t>Neue Werte einfach in der nächsten freien Zeile ergänzen – die Dropdowns erweitern sich automatisch (Bereich bis Zeile 40). Bestehende Werte nur ändern, wenn sie auch im Datenblatt angepasst werden.</t>
  </si>
  <si>
    <t>Abteilung / Bereich</t>
  </si>
  <si>
    <t>Beschäftigungsart</t>
  </si>
  <si>
    <t>Befristet</t>
  </si>
  <si>
    <t>Werkstudium</t>
  </si>
  <si>
    <t>Ausbildung</t>
  </si>
  <si>
    <t>Austritt geplant</t>
  </si>
  <si>
    <t>Freie Mitarbeit</t>
  </si>
  <si>
    <t>Technischer Hinweis: Die Bereiche sind als dynamische Namen (Liste_Abteilung, Liste_Standort, Liste_Beschaeftigung, Liste_Status, Pos_IDs) hinterlegt und passen sich der Anzahl der Einträge selbst an.</t>
  </si>
  <si>
    <t>ORGANIGRAMM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</si>
</sst>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%"/>
  </numFmts>
  <fonts count="26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2"/>
      <color rgb="FF9BB2CE"/>
      <name val="Calibri"/>
      <charset val="1"/>
    </font>
    <font>
      <sz val="10"/>
      <color rgb="FFFFFFFF"/>
      <name val="Calibri"/>
      <charset val="1"/>
    </font>
    <font>
      <b/>
      <sz val="10"/>
      <color rgb="FFFFFFFF"/>
      <name val="Calibri"/>
      <charset val="1"/>
    </font>
    <font>
      <b/>
      <sz val="9"/>
      <color rgb="FF5C6A7D"/>
      <name val="Calibri"/>
      <charset val="1"/>
    </font>
    <font>
      <b/>
      <sz val="7.5"/>
      <color rgb="FFA8621B"/>
      <name val="Calibri"/>
      <charset val="1"/>
    </font>
    <font>
      <b/>
      <sz val="12"/>
      <color rgb="FFFFFFFF"/>
      <name val="Calibri"/>
      <charset val="1"/>
    </font>
    <font>
      <b/>
      <sz val="10"/>
      <color rgb="FF1B2A4A"/>
      <name val="Calibri"/>
      <charset val="1"/>
    </font>
    <font>
      <sz val="8.5"/>
      <color rgb="FF5C6A7D"/>
      <name val="Calibri"/>
      <charset val="1"/>
    </font>
    <font>
      <b/>
      <sz val="8.5"/>
      <color rgb="FF2E4A75"/>
      <name val="Calibri"/>
      <charset val="1"/>
    </font>
    <font>
      <b/>
      <sz val="10.5"/>
      <color rgb="FFFFFFFF"/>
      <name val="Calibri"/>
      <charset val="1"/>
    </font>
    <font>
      <b/>
      <sz val="9.5"/>
      <color rgb="FFFFFFFF"/>
      <name val="Calibri"/>
      <charset val="1"/>
    </font>
    <font>
      <sz val="9"/>
      <color rgb="FF5C6A7D"/>
      <name val="Calibri"/>
      <charset val="1"/>
    </font>
    <font>
      <b/>
      <sz val="18"/>
      <color rgb="FFFFFFFF"/>
      <name val="Calibri"/>
      <charset val="1"/>
    </font>
    <font>
      <sz val="11"/>
      <color rgb="FF9BB2CE"/>
      <name val="Calibri"/>
      <charset val="1"/>
    </font>
    <font>
      <b/>
      <sz val="11"/>
      <color rgb="FF1B2A4A"/>
      <name val="Calibri"/>
      <charset val="1"/>
    </font>
    <font>
      <sz val="10"/>
      <color rgb="FF1F2937"/>
      <name val="Calibri"/>
      <charset val="1"/>
    </font>
    <font>
      <sz val="10"/>
      <color rgb="FF1B2A4A"/>
      <name val="Calibri"/>
      <charset val="1"/>
    </font>
    <font>
      <sz val="9.5"/>
      <color rgb="FF1F2937"/>
      <name val="Calibri"/>
      <charset val="1"/>
    </font>
    <font>
      <i/>
      <sz val="9.5"/>
      <color rgb="FF5C6A7D"/>
      <name val="Calibri"/>
      <charset val="1"/>
    </font>
    <font>
      <sz val="9"/>
      <color rgb="FF1F2937"/>
      <name val="Calibri"/>
      <charset val="1"/>
    </font>
    <font>
      <i/>
      <sz val="9"/>
      <color rgb="FF5C6A7D"/>
      <name val="Calibri"/>
      <charset val="1"/>
    </font>
    <font>
      <b/>
      <sz val="8.5"/>
      <color rgb="FFFFFFFF"/>
      <name val="Calibri"/>
      <charset val="1"/>
    </font>
    <font>
      <b/>
      <sz val="22"/>
      <color rgb="FF1B2A4A"/>
      <name val="Calibri"/>
      <charset val="1"/>
    </font>
    <font>
      <b/>
      <sz val="12"/>
      <color rgb="FF1B2A4A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B2A4A"/>
        <bgColor rgb="FF1F2937"/>
      </patternFill>
    </fill>
    <fill>
      <patternFill patternType="solid">
        <fgColor rgb="FF2E4A75"/>
        <bgColor rgb="FF1B2A4A"/>
      </patternFill>
    </fill>
    <fill>
      <patternFill patternType="solid">
        <fgColor rgb="FFF3F6FA"/>
        <bgColor rgb="FFF5F8FC"/>
      </patternFill>
    </fill>
    <fill>
      <patternFill patternType="solid">
        <fgColor rgb="FFA8621B"/>
        <bgColor rgb="FF8A4B0F"/>
      </patternFill>
    </fill>
    <fill>
      <patternFill patternType="solid">
        <fgColor rgb="FFFFFFFF"/>
        <bgColor rgb="FFF5F8FC"/>
      </patternFill>
    </fill>
    <fill>
      <patternFill patternType="solid">
        <fgColor rgb="FFD3E2F6"/>
        <bgColor rgb="FFDCE6F2"/>
      </patternFill>
    </fill>
    <fill>
      <patternFill patternType="solid">
        <fgColor rgb="FF51739E"/>
        <bgColor rgb="FF56708F"/>
      </patternFill>
    </fill>
    <fill>
      <patternFill patternType="solid">
        <fgColor rgb="FFF7E4CD"/>
        <bgColor rgb="FFFBE3E3"/>
      </patternFill>
    </fill>
    <fill>
      <patternFill patternType="solid">
        <fgColor rgb="FFDCE6F2"/>
        <bgColor rgb="FFD3E2F6"/>
      </patternFill>
    </fill>
  </fills>
  <borders count="27">
    <border>
      <left/>
      <right/>
      <top/>
      <bottom/>
      <diagonal/>
    </border>
    <border>
      <left/>
      <right/>
      <top/>
      <bottom style="thin">
        <color rgb="FFA8621B"/>
      </bottom>
      <diagonal/>
    </border>
    <border>
      <left style="thin">
        <color rgb="FF51739E"/>
      </left>
      <right style="thin">
        <color rgb="FF51739E"/>
      </right>
      <top style="thin">
        <color rgb="FF51739E"/>
      </top>
      <bottom/>
      <diagonal/>
    </border>
    <border>
      <left style="thin">
        <color rgb="FF51739E"/>
      </left>
      <right style="thin">
        <color rgb="FF51739E"/>
      </right>
      <top/>
      <bottom/>
      <diagonal/>
    </border>
    <border>
      <left/>
      <right/>
      <top/>
      <bottom style="dashed">
        <color rgb="FF56708F"/>
      </bottom>
      <diagonal/>
    </border>
    <border>
      <left style="thin">
        <color rgb="FF51739E"/>
      </left>
      <right style="thin">
        <color rgb="FF51739E"/>
      </right>
      <top style="hair">
        <color rgb="FFC6D2E1"/>
      </top>
      <bottom/>
      <diagonal/>
    </border>
    <border>
      <left style="thin">
        <color rgb="FF51739E"/>
      </left>
      <right style="thin">
        <color rgb="FF51739E"/>
      </right>
      <top/>
      <bottom style="thin">
        <color rgb="FF51739E"/>
      </bottom>
      <diagonal/>
    </border>
    <border>
      <left/>
      <right style="thin">
        <color rgb="FF56708F"/>
      </right>
      <top/>
      <bottom/>
      <diagonal/>
    </border>
    <border>
      <left/>
      <right/>
      <top/>
      <bottom style="thin">
        <color rgb="FF56708F"/>
      </bottom>
      <diagonal/>
    </border>
    <border>
      <left/>
      <right style="thin">
        <color rgb="FF56708F"/>
      </right>
      <top/>
      <bottom style="thin">
        <color rgb="FF56708F"/>
      </bottom>
      <diagonal/>
    </border>
    <border>
      <left/>
      <right/>
      <top/>
      <bottom style="thin">
        <color rgb="FFC6D2E1"/>
      </bottom>
      <diagonal/>
    </border>
    <border>
      <left style="thin">
        <color rgb="FFC6D2E1"/>
      </left>
      <right style="thin">
        <color rgb="FFC6D2E1"/>
      </right>
      <top style="thin">
        <color rgb="FFC6D2E1"/>
      </top>
      <bottom style="thin">
        <color rgb="FFC6D2E1"/>
      </bottom>
      <diagonal/>
    </border>
    <border>
      <left style="medium">
        <color rgb="FF1B2A4A"/>
      </left>
      <right/>
      <top style="medium">
        <color rgb="FF1B2A4A"/>
      </top>
      <bottom style="medium">
        <color rgb="FFA8621B"/>
      </bottom>
      <diagonal/>
    </border>
    <border>
      <left/>
      <right/>
      <top style="medium">
        <color rgb="FF1B2A4A"/>
      </top>
      <bottom style="medium">
        <color rgb="FFA8621B"/>
      </bottom>
      <diagonal/>
    </border>
    <border>
      <left/>
      <right style="medium">
        <color rgb="FF1B2A4A"/>
      </right>
      <top style="medium">
        <color rgb="FF1B2A4A"/>
      </top>
      <bottom style="medium">
        <color rgb="FFA8621B"/>
      </bottom>
      <diagonal/>
    </border>
    <border>
      <left style="medium">
        <color rgb="FF1B2A4A"/>
      </left>
      <right style="hair">
        <color rgb="FFC6D2E1"/>
      </right>
      <top/>
      <bottom style="hair">
        <color rgb="FFC6D2E1"/>
      </bottom>
      <diagonal/>
    </border>
    <border>
      <left style="hair">
        <color rgb="FFC6D2E1"/>
      </left>
      <right style="hair">
        <color rgb="FFC6D2E1"/>
      </right>
      <top/>
      <bottom style="hair">
        <color rgb="FFC6D2E1"/>
      </bottom>
      <diagonal/>
    </border>
    <border>
      <left style="hair">
        <color rgb="FFC6D2E1"/>
      </left>
      <right style="medium">
        <color rgb="FF1B2A4A"/>
      </right>
      <top/>
      <bottom style="hair">
        <color rgb="FFC6D2E1"/>
      </bottom>
      <diagonal/>
    </border>
    <border>
      <left style="medium">
        <color rgb="FF1B2A4A"/>
      </left>
      <right style="hair">
        <color rgb="FFC6D2E1"/>
      </right>
      <top/>
      <bottom style="medium">
        <color rgb="FF1B2A4A"/>
      </bottom>
      <diagonal/>
    </border>
    <border>
      <left style="hair">
        <color rgb="FFC6D2E1"/>
      </left>
      <right style="hair">
        <color rgb="FFC6D2E1"/>
      </right>
      <top/>
      <bottom style="medium">
        <color rgb="FF1B2A4A"/>
      </bottom>
      <diagonal/>
    </border>
    <border>
      <left style="hair">
        <color rgb="FFC6D2E1"/>
      </left>
      <right style="medium">
        <color rgb="FF1B2A4A"/>
      </right>
      <top/>
      <bottom style="medium">
        <color rgb="FF1B2A4A"/>
      </bottom>
      <diagonal/>
    </border>
    <border>
      <left style="thin">
        <color rgb="FFC6D2E1"/>
      </left>
      <right style="thin">
        <color rgb="FFC6D2E1"/>
      </right>
      <top style="thin">
        <color rgb="FFC6D2E1"/>
      </top>
      <bottom/>
      <diagonal/>
    </border>
    <border>
      <left style="thin">
        <color rgb="FFC6D2E1"/>
      </left>
      <right style="thin">
        <color rgb="FFC6D2E1"/>
      </right>
      <top/>
      <bottom/>
      <diagonal/>
    </border>
    <border>
      <left style="thin">
        <color rgb="FFC6D2E1"/>
      </left>
      <right style="thin">
        <color rgb="FFC6D2E1"/>
      </right>
      <top/>
      <bottom style="medium">
        <color rgb="FFA8621B"/>
      </bottom>
      <diagonal/>
    </border>
    <border>
      <left style="thin">
        <color rgb="FF1B2A4A"/>
      </left>
      <right style="thin">
        <color rgb="FF1B2A4A"/>
      </right>
      <top style="thin">
        <color rgb="FF1B2A4A"/>
      </top>
      <bottom style="medium">
        <color rgb="FFA8621B"/>
      </bottom>
      <diagonal/>
    </border>
    <border>
      <left style="thin">
        <color rgb="FF1B2A4A"/>
      </left>
      <right style="thin">
        <color rgb="FF1B2A4A"/>
      </right>
      <top/>
      <bottom style="hair">
        <color rgb="FFC6D2E1"/>
      </bottom>
      <diagonal/>
    </border>
    <border>
      <left style="thin">
        <color rgb="FF1B2A4A"/>
      </left>
      <right style="thin">
        <color rgb="FF1B2A4A"/>
      </right>
      <top/>
      <bottom style="thin">
        <color rgb="FF1B2A4A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8" fillId="0" borderId="0" xfId="0" applyFont="1" applyAlignment="1">
      <alignment horizontal="left" vertical="center"/>
    </xf>
    <xf numFmtId="0" fontId="12" fillId="8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4" borderId="1" xfId="0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right" vertical="center" indent="1"/>
    </xf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8" borderId="11" xfId="0" applyFill="1" applyBorder="1"/>
    <xf numFmtId="0" fontId="0" fillId="5" borderId="11" xfId="0" applyFill="1" applyBorder="1"/>
    <xf numFmtId="0" fontId="0" fillId="9" borderId="11" xfId="0" applyFill="1" applyBorder="1"/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left" vertical="center" indent="1"/>
    </xf>
    <xf numFmtId="0" fontId="18" fillId="4" borderId="16" xfId="0" applyFont="1" applyFill="1" applyBorder="1" applyAlignment="1">
      <alignment horizontal="left" vertical="center" indent="1"/>
    </xf>
    <xf numFmtId="0" fontId="17" fillId="6" borderId="16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164" fontId="17" fillId="6" borderId="16" xfId="0" applyNumberFormat="1" applyFont="1" applyFill="1" applyBorder="1" applyAlignment="1">
      <alignment horizontal="center" vertical="center"/>
    </xf>
    <xf numFmtId="165" fontId="17" fillId="6" borderId="16" xfId="0" applyNumberFormat="1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left" vertical="center" indent="1"/>
    </xf>
    <xf numFmtId="0" fontId="20" fillId="6" borderId="17" xfId="0" applyFont="1" applyFill="1" applyBorder="1" applyAlignment="1">
      <alignment horizontal="left" vertical="center" indent="1"/>
    </xf>
    <xf numFmtId="0" fontId="21" fillId="4" borderId="0" xfId="0" applyFont="1" applyFill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left" vertical="center" indent="1"/>
    </xf>
    <xf numFmtId="0" fontId="17" fillId="6" borderId="18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left" vertical="center" indent="1"/>
    </xf>
    <xf numFmtId="0" fontId="18" fillId="4" borderId="19" xfId="0" applyFont="1" applyFill="1" applyBorder="1" applyAlignment="1">
      <alignment horizontal="left" vertical="center" indent="1"/>
    </xf>
    <xf numFmtId="0" fontId="17" fillId="6" borderId="1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64" fontId="17" fillId="6" borderId="19" xfId="0" applyNumberFormat="1" applyFont="1" applyFill="1" applyBorder="1" applyAlignment="1">
      <alignment horizontal="center" vertical="center"/>
    </xf>
    <xf numFmtId="165" fontId="17" fillId="6" borderId="19" xfId="0" applyNumberFormat="1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left" vertical="center" indent="1"/>
    </xf>
    <xf numFmtId="0" fontId="17" fillId="6" borderId="20" xfId="0" applyFont="1" applyFill="1" applyBorder="1" applyAlignment="1">
      <alignment horizontal="left" vertical="center" indent="1"/>
    </xf>
    <xf numFmtId="0" fontId="12" fillId="3" borderId="0" xfId="0" applyFont="1" applyFill="1" applyAlignment="1">
      <alignment horizontal="center" vertical="center" wrapText="1"/>
    </xf>
    <xf numFmtId="0" fontId="8" fillId="4" borderId="16" xfId="0" applyFont="1" applyFill="1" applyBorder="1" applyAlignment="1">
      <alignment horizontal="left" vertical="center" indent="1"/>
    </xf>
    <xf numFmtId="166" fontId="17" fillId="6" borderId="1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indent="1"/>
    </xf>
    <xf numFmtId="1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18" fillId="6" borderId="25" xfId="0" applyFont="1" applyFill="1" applyBorder="1" applyAlignment="1">
      <alignment horizontal="left" vertical="center" indent="1"/>
    </xf>
    <xf numFmtId="0" fontId="17" fillId="6" borderId="25" xfId="0" applyFont="1" applyFill="1" applyBorder="1" applyAlignment="1">
      <alignment horizontal="left" vertical="center" indent="1"/>
    </xf>
    <xf numFmtId="0" fontId="17" fillId="6" borderId="26" xfId="0" applyFont="1" applyFill="1" applyBorder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3" fillId="6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 indent="1"/>
    </xf>
    <xf numFmtId="0" fontId="15" fillId="2" borderId="0" xfId="0" applyFont="1" applyFill="1" applyAlignment="1">
      <alignment horizontal="right" vertical="center" indent="1"/>
    </xf>
    <xf numFmtId="0" fontId="16" fillId="10" borderId="0" xfId="0" applyFont="1" applyFill="1" applyAlignment="1">
      <alignment horizontal="left" vertical="center" indent="1"/>
    </xf>
    <xf numFmtId="0" fontId="13" fillId="4" borderId="0" xfId="0" applyFont="1" applyFill="1" applyAlignment="1">
      <alignment horizontal="left" vertical="center" indent="1"/>
    </xf>
    <xf numFmtId="0" fontId="22" fillId="0" borderId="0" xfId="0" applyFont="1" applyAlignment="1">
      <alignment horizontal="left" vertical="center"/>
    </xf>
    <xf numFmtId="0" fontId="23" fillId="2" borderId="21" xfId="0" applyFont="1" applyFill="1" applyBorder="1" applyAlignment="1">
      <alignment horizontal="center" vertical="center"/>
    </xf>
    <xf numFmtId="1" fontId="24" fillId="6" borderId="22" xfId="0" applyNumberFormat="1" applyFont="1" applyFill="1" applyBorder="1" applyAlignment="1">
      <alignment horizontal="center" vertical="center"/>
    </xf>
    <xf numFmtId="166" fontId="24" fillId="6" borderId="22" xfId="0" applyNumberFormat="1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164" fontId="24" fillId="6" borderId="22" xfId="0" applyNumberFormat="1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left"/>
    </xf>
  </cellXfs>
  <cellStyles count="1">
    <cellStyle name="Standard" xfId="0" builtinId="0"/>
  </cellStyles>
  <dxfs count="48"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sz val="9"/>
        <color rgb="FF9BB2CE"/>
        <name val="Calibri"/>
        <charset val="1"/>
      </font>
    </dxf>
    <dxf>
      <font>
        <b/>
        <sz val="9"/>
        <color rgb="FF9B2226"/>
        <name val="Calibri"/>
        <charset val="1"/>
      </font>
      <fill>
        <patternFill>
          <bgColor rgb="FFFBE3E3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sz val="10"/>
        <color rgb="FF5C6A7D"/>
        <name val="Calibri"/>
        <charset val="1"/>
      </font>
      <fill>
        <patternFill>
          <bgColor rgb="FFEDEFF3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1B2A4A"/>
        <name val="Calibri"/>
        <charset val="1"/>
      </font>
      <fill>
        <patternFill>
          <bgColor rgb="FFDCE6F2"/>
        </patternFill>
      </fill>
    </dxf>
    <dxf>
      <font>
        <b/>
        <sz val="10"/>
        <color rgb="FFFFFFFF"/>
        <name val="Calibri"/>
        <charset val="1"/>
      </font>
      <fill>
        <patternFill>
          <bgColor rgb="FF51739E"/>
        </patternFill>
      </fill>
    </dxf>
    <dxf>
      <font>
        <b/>
        <sz val="10"/>
        <color rgb="FFFFFFFF"/>
        <name val="Calibri"/>
        <charset val="1"/>
      </font>
      <fill>
        <patternFill>
          <bgColor rgb="FF2E4A75"/>
        </patternFill>
      </fill>
    </dxf>
    <dxf>
      <font>
        <b/>
        <sz val="10"/>
        <color rgb="FFFFFFFF"/>
        <name val="Calibri"/>
        <charset val="1"/>
      </font>
      <fill>
        <patternFill>
          <bgColor rgb="FF1B2A4A"/>
        </patternFill>
      </fill>
    </dxf>
    <dxf>
      <fill>
        <patternFill>
          <bgColor rgb="FFF5F8FC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  <dxf>
      <font>
        <b/>
        <sz val="10"/>
        <color rgb="FF2E4A75"/>
        <name val="Calibri"/>
        <charset val="1"/>
      </font>
      <fill>
        <patternFill>
          <bgColor rgb="FFDCE6F2"/>
        </patternFill>
      </fill>
    </dxf>
    <dxf>
      <font>
        <b/>
        <sz val="10"/>
        <color rgb="FF8A4B0F"/>
        <name val="Calibri"/>
        <charset val="1"/>
      </font>
      <fill>
        <patternFill>
          <bgColor rgb="FFF7E4C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621B"/>
      <rgbColor rgb="FF800080"/>
      <rgbColor rgb="FF008080"/>
      <rgbColor rgb="FF9BB2CE"/>
      <rgbColor rgb="FF878787"/>
      <rgbColor rgb="FF9999FF"/>
      <rgbColor rgb="FF8A4B0F"/>
      <rgbColor rgb="FFF5F8FC"/>
      <rgbColor rgb="FFDCE6F2"/>
      <rgbColor rgb="FF660066"/>
      <rgbColor rgb="FFFF8080"/>
      <rgbColor rgb="FF0066CC"/>
      <rgbColor rgb="FFC6D2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CF2"/>
      <rgbColor rgb="FFEDEFF3"/>
      <rgbColor rgb="FFFBE3E3"/>
      <rgbColor rgb="FFD3E2F6"/>
      <rgbColor rgb="FFF3F6FA"/>
      <rgbColor rgb="FFD9D9D9"/>
      <rgbColor rgb="FFF7E4CD"/>
      <rgbColor rgb="FF51739E"/>
      <rgbColor rgb="FF33CCCC"/>
      <rgbColor rgb="FF99CC00"/>
      <rgbColor rgb="FFFFCC00"/>
      <rgbColor rgb="FFFF9900"/>
      <rgbColor rgb="FFFF6600"/>
      <rgbColor rgb="FF5C6A7D"/>
      <rgbColor rgb="FF969696"/>
      <rgbColor rgb="FF1B2A4A"/>
      <rgbColor rgb="FF56708F"/>
      <rgbColor rgb="FF003300"/>
      <rgbColor rgb="FF333300"/>
      <rgbColor rgb="FF9B2226"/>
      <rgbColor rgb="FF993366"/>
      <rgbColor rgb="FF2E4A75"/>
      <rgbColor rgb="FF1F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Positionen je Abteilung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Kennzahlen!$D$16</c:f>
              <c:strCache>
                <c:ptCount val="1"/>
                <c:pt idx="0">
                  <c:v>Besetzt</c:v>
                </c:pt>
              </c:strCache>
            </c:strRef>
          </c:tx>
          <c:spPr>
            <a:solidFill>
              <a:srgbClr val="2E4A75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Kennzahlen!$B$17:$B$24</c:f>
              <c:strCache>
                <c:ptCount val="5"/>
                <c:pt idx="0">
                  <c:v>Geschäftsführung</c:v>
                </c:pt>
                <c:pt idx="1">
                  <c:v>Vertrieb &amp; Marketing</c:v>
                </c:pt>
                <c:pt idx="2">
                  <c:v>Technik &amp; Betrieb</c:v>
                </c:pt>
                <c:pt idx="3">
                  <c:v>Finanzen &amp; Verwaltung</c:v>
                </c:pt>
                <c:pt idx="4">
                  <c:v>Personal</c:v>
                </c:pt>
              </c:strCache>
            </c:strRef>
          </c:cat>
          <c:val>
            <c:numRef>
              <c:f>Kennzahlen!$D$17:$D$24</c:f>
              <c:numCache>
                <c:formatCode>General</c:formatCode>
                <c:ptCount val="8"/>
                <c:pt idx="0">
                  <c:v>2</c:v>
                </c:pt>
                <c:pt idx="1">
                  <c:v>8</c:v>
                </c:pt>
                <c:pt idx="2">
                  <c:v>8</c:v>
                </c:pt>
                <c:pt idx="3">
                  <c:v>7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F-463E-8F8F-03BC016C9FCB}"/>
            </c:ext>
          </c:extLst>
        </c:ser>
        <c:ser>
          <c:idx val="1"/>
          <c:order val="1"/>
          <c:tx>
            <c:strRef>
              <c:f>Kennzahlen!$E$16</c:f>
              <c:strCache>
                <c:ptCount val="1"/>
                <c:pt idx="0">
                  <c:v>Offen</c:v>
                </c:pt>
              </c:strCache>
            </c:strRef>
          </c:tx>
          <c:spPr>
            <a:solidFill>
              <a:srgbClr val="A8621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Kennzahlen!$B$17:$B$24</c:f>
              <c:strCache>
                <c:ptCount val="5"/>
                <c:pt idx="0">
                  <c:v>Geschäftsführung</c:v>
                </c:pt>
                <c:pt idx="1">
                  <c:v>Vertrieb &amp; Marketing</c:v>
                </c:pt>
                <c:pt idx="2">
                  <c:v>Technik &amp; Betrieb</c:v>
                </c:pt>
                <c:pt idx="3">
                  <c:v>Finanzen &amp; Verwaltung</c:v>
                </c:pt>
                <c:pt idx="4">
                  <c:v>Personal</c:v>
                </c:pt>
              </c:strCache>
            </c:strRef>
          </c:cat>
          <c:val>
            <c:numRef>
              <c:f>Kennzahlen!$E$17:$E$24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DF-463E-8F8F-03BC016C9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1827919"/>
        <c:axId val="97373079"/>
      </c:barChart>
      <c:catAx>
        <c:axId val="418279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7373079"/>
        <c:crosses val="autoZero"/>
        <c:auto val="1"/>
        <c:lblAlgn val="ctr"/>
        <c:lblOffset val="100"/>
        <c:noMultiLvlLbl val="0"/>
      </c:catAx>
      <c:valAx>
        <c:axId val="97373079"/>
        <c:scaling>
          <c:orientation val="minMax"/>
        </c:scaling>
        <c:delete val="0"/>
        <c:axPos val="b"/>
        <c:majorGridlines>
          <c:spPr>
            <a:ln w="9360">
              <a:solidFill>
                <a:srgbClr val="E8ECF2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182791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Positionen je Standort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Kennzahlen!$C$28</c:f>
              <c:strCache>
                <c:ptCount val="1"/>
                <c:pt idx="0">
                  <c:v>Positionen</c:v>
                </c:pt>
              </c:strCache>
            </c:strRef>
          </c:tx>
          <c:spPr>
            <a:solidFill>
              <a:srgbClr val="51739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Kennzahlen!$B$29:$B$35</c:f>
              <c:strCache>
                <c:ptCount val="5"/>
                <c:pt idx="0">
                  <c:v>München</c:v>
                </c:pt>
                <c:pt idx="1">
                  <c:v>Hamburg</c:v>
                </c:pt>
                <c:pt idx="2">
                  <c:v>Berlin</c:v>
                </c:pt>
                <c:pt idx="3">
                  <c:v>Wien</c:v>
                </c:pt>
                <c:pt idx="4">
                  <c:v>Remote</c:v>
                </c:pt>
              </c:strCache>
            </c:strRef>
          </c:cat>
          <c:val>
            <c:numRef>
              <c:f>Kennzahlen!$C$29:$C$35</c:f>
              <c:numCache>
                <c:formatCode>General</c:formatCode>
                <c:ptCount val="7"/>
                <c:pt idx="0">
                  <c:v>13</c:v>
                </c:pt>
                <c:pt idx="1">
                  <c:v>7</c:v>
                </c:pt>
                <c:pt idx="2">
                  <c:v>7</c:v>
                </c:pt>
                <c:pt idx="3">
                  <c:v>4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8-44F8-84F8-E0E24075C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3150713"/>
        <c:axId val="28842342"/>
      </c:barChart>
      <c:catAx>
        <c:axId val="5315071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8842342"/>
        <c:crosses val="autoZero"/>
        <c:auto val="1"/>
        <c:lblAlgn val="ctr"/>
        <c:lblOffset val="100"/>
        <c:noMultiLvlLbl val="0"/>
      </c:catAx>
      <c:valAx>
        <c:axId val="2884234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315071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15</xdr:row>
      <xdr:rowOff>0</xdr:rowOff>
    </xdr:from>
    <xdr:to>
      <xdr:col>13</xdr:col>
      <xdr:colOff>84960</xdr:colOff>
      <xdr:row>26</xdr:row>
      <xdr:rowOff>217080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27</xdr:row>
      <xdr:rowOff>0</xdr:rowOff>
    </xdr:from>
    <xdr:to>
      <xdr:col>13</xdr:col>
      <xdr:colOff>84960</xdr:colOff>
      <xdr:row>37</xdr:row>
      <xdr:rowOff>157320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  <pageSetUpPr fitToPage="1"/>
  </sheetPr>
  <dimension ref="A1:AG40"/>
  <sheetViews>
    <sheetView showGridLines="0" tabSelected="1" zoomScale="90" zoomScaleNormal="90" workbookViewId="0">
      <pane ySplit="4" topLeftCell="A5" activePane="bottomLeft" state="frozen"/>
      <selection pane="bottomLeft" activeCell="AR56" sqref="AR56"/>
    </sheetView>
  </sheetViews>
  <sheetFormatPr baseColWidth="10" defaultColWidth="8.7109375" defaultRowHeight="15" x14ac:dyDescent="0.25"/>
  <cols>
    <col min="1" max="1" width="1.5703125" customWidth="1"/>
    <col min="2" max="3" width="2" customWidth="1"/>
    <col min="4" max="8" width="4.5703125" customWidth="1"/>
    <col min="9" max="9" width="2.140625" customWidth="1"/>
    <col min="10" max="11" width="2" customWidth="1"/>
    <col min="12" max="16" width="4.5703125" customWidth="1"/>
    <col min="17" max="17" width="2.140625" customWidth="1"/>
    <col min="18" max="19" width="2" customWidth="1"/>
    <col min="20" max="24" width="4.5703125" customWidth="1"/>
    <col min="25" max="25" width="2.140625" customWidth="1"/>
    <col min="26" max="27" width="2" customWidth="1"/>
    <col min="28" max="32" width="4.5703125" customWidth="1"/>
    <col min="33" max="33" width="2.140625" customWidth="1"/>
  </cols>
  <sheetData>
    <row r="1" spans="1:33" ht="7.5" customHeight="1" x14ac:dyDescent="0.25"/>
    <row r="2" spans="1:33" ht="33.75" customHeight="1" x14ac:dyDescent="0.25">
      <c r="A2" s="14" t="s">
        <v>248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3" t="s">
        <v>0</v>
      </c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19.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1" t="str">
        <f>"Positionen: "&amp;COUNTA(Mitarbeiterdaten!$B$8:$B$67)&amp;"   ·   Besetzt: "&amp;COUNTIF(Mitarbeiterdaten!$M$8:$M$67,"Besetzt")&amp;"   ·   Offen: "&amp;(COUNTIF(Mitarbeiterdaten!$M$8:$M$67,"Vakant")+COUNTIF(Mitarbeiterdaten!$M$8:$M$67,"In Besetzung"))&amp;"   ·   FTE: "&amp;ROUND(SUM(Mitarbeiterdaten!$L$8:$L$67),1)</f>
        <v>Positionen: 33   ·   Besetzt: 30   ·   Offen: 2   ·   FTE: 30,8</v>
      </c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18" customHeight="1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ht="12" customHeight="1" x14ac:dyDescent="0.25"/>
    <row r="6" spans="1:33" ht="7.5" customHeight="1" x14ac:dyDescent="0.25">
      <c r="W6" s="9" t="s">
        <v>3</v>
      </c>
      <c r="X6" s="9"/>
      <c r="Y6" s="9"/>
      <c r="Z6" s="9"/>
      <c r="AA6" s="9"/>
      <c r="AB6" s="9"/>
      <c r="AC6" s="9"/>
    </row>
    <row r="7" spans="1:33" ht="21" customHeight="1" x14ac:dyDescent="0.25">
      <c r="N7" s="8" t="str">
        <f>IFERROR(VLOOKUP($N$10,Mitarbeiterdaten!$B$8:$T$67,2,FALSE()),"Pos-ID prüfen")</f>
        <v>Geschäftsführung</v>
      </c>
      <c r="O7" s="8"/>
      <c r="P7" s="8"/>
      <c r="Q7" s="8"/>
      <c r="R7" s="8"/>
      <c r="S7" s="8"/>
      <c r="T7" s="8"/>
      <c r="U7" s="8"/>
      <c r="W7" s="7" t="str">
        <f>IFERROR(VLOOKUP($W$10,Mitarbeiterdaten!$B$8:$T$67,2,FALSE()),"Pos-ID prüfen")</f>
        <v>Assistenz der Geschäftsführung</v>
      </c>
      <c r="X7" s="7"/>
      <c r="Y7" s="7"/>
      <c r="Z7" s="7"/>
      <c r="AA7" s="7"/>
      <c r="AB7" s="7"/>
      <c r="AC7" s="7"/>
    </row>
    <row r="8" spans="1:33" ht="16.5" customHeight="1" x14ac:dyDescent="0.25">
      <c r="N8" s="6" t="str">
        <f>IF($N$10="","",IFERROR(IF(VLOOKUP($N$10,Mitarbeiterdaten!$B$8:$T$67,5,FALSE())="",IF(VLOOKUP($N$10,Mitarbeiterdaten!$B$8:$T$67,12,FALSE())="Vakant","VAKANT – zu besetzen",IF(VLOOKUP($N$10,Mitarbeiterdaten!$B$8:$T$67,12,FALSE())="In Besetzung","In Besetzung","N. N.")),VLOOKUP($N$10,Mitarbeiterdaten!$B$8:$T$67,5,FALSE())),"–"))</f>
        <v>Katrin Vogel</v>
      </c>
      <c r="O8" s="6"/>
      <c r="P8" s="6"/>
      <c r="Q8" s="6"/>
      <c r="R8" s="6"/>
      <c r="S8" s="6"/>
      <c r="T8" s="6"/>
      <c r="U8" s="6"/>
      <c r="V8" s="15"/>
      <c r="W8" s="6" t="str">
        <f>IF($W$10="","",IFERROR(IF(VLOOKUP($W$10,Mitarbeiterdaten!$B$8:$T$67,5,FALSE())="",IF(VLOOKUP($W$10,Mitarbeiterdaten!$B$8:$T$67,12,FALSE())="Vakant","VAKANT – zu besetzen",IF(VLOOKUP($W$10,Mitarbeiterdaten!$B$8:$T$67,12,FALSE())="In Besetzung","In Besetzung","N. N.")),VLOOKUP($W$10,Mitarbeiterdaten!$B$8:$T$67,5,FALSE())),"–"))</f>
        <v>Miriam Klose</v>
      </c>
      <c r="X8" s="6"/>
      <c r="Y8" s="6"/>
      <c r="Z8" s="6"/>
      <c r="AA8" s="6"/>
      <c r="AB8" s="6"/>
      <c r="AC8" s="6"/>
    </row>
    <row r="9" spans="1:33" ht="21.75" customHeight="1" x14ac:dyDescent="0.25">
      <c r="N9" s="5" t="str">
        <f>IF($N$10="","",IFERROR(VLOOKUP($N$10,Mitarbeiterdaten!$B$8:$T$67,9,FALSE())&amp;"  ·  "&amp;FIXED(VLOOKUP($N$10,Mitarbeiterdaten!$B$8:$T$67,11,FALSE()),1)&amp;" FTE  ·  Team "&amp;VLOOKUP($N$10,Mitarbeiterdaten!$B$8:$T$67,16,FALSE()),""))</f>
        <v>München  ·  1,0 FTE  ·  Team 32</v>
      </c>
      <c r="O9" s="5"/>
      <c r="P9" s="5"/>
      <c r="Q9" s="5"/>
      <c r="R9" s="5"/>
      <c r="S9" s="5"/>
      <c r="T9" s="5"/>
      <c r="U9" s="5"/>
      <c r="W9" s="5" t="str">
        <f>IF($W$10="","",IFERROR(VLOOKUP($W$10,Mitarbeiterdaten!$B$8:$T$67,9,FALSE())&amp;"  ·  "&amp;FIXED(VLOOKUP($W$10,Mitarbeiterdaten!$B$8:$T$67,11,FALSE()),1)&amp;" FTE  ·  Team "&amp;VLOOKUP($W$10,Mitarbeiterdaten!$B$8:$T$67,16,FALSE()),""))</f>
        <v>München  ·  0,6 FTE  ·  Team 0</v>
      </c>
      <c r="X9" s="5"/>
      <c r="Y9" s="5"/>
      <c r="Z9" s="5"/>
      <c r="AA9" s="5"/>
      <c r="AB9" s="5"/>
      <c r="AC9" s="5"/>
    </row>
    <row r="10" spans="1:33" ht="15.75" customHeight="1" x14ac:dyDescent="0.25">
      <c r="N10" s="4" t="s">
        <v>4</v>
      </c>
      <c r="O10" s="4"/>
      <c r="P10" s="4"/>
      <c r="Q10" s="4"/>
      <c r="R10" s="4"/>
      <c r="S10" s="4"/>
      <c r="T10" s="4"/>
      <c r="U10" s="4"/>
      <c r="W10" s="4" t="s">
        <v>5</v>
      </c>
      <c r="X10" s="4"/>
      <c r="Y10" s="4"/>
      <c r="Z10" s="4"/>
      <c r="AA10" s="4"/>
      <c r="AB10" s="4"/>
      <c r="AC10" s="4"/>
    </row>
    <row r="11" spans="1:33" ht="13.5" customHeight="1" x14ac:dyDescent="0.25">
      <c r="P11" s="16"/>
    </row>
    <row r="12" spans="1:33" ht="13.5" customHeight="1" x14ac:dyDescent="0.25"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33" ht="12" customHeight="1" x14ac:dyDescent="0.25">
      <c r="E13" s="16"/>
      <c r="M13" s="16"/>
      <c r="U13" s="16"/>
      <c r="AC13" s="16"/>
    </row>
    <row r="14" spans="1:33" ht="24" customHeight="1" x14ac:dyDescent="0.25">
      <c r="B14" s="3" t="str">
        <f>IFERROR(VLOOKUP($B$17,Mitarbeiterdaten!$B$8:$T$67,2,FALSE()),"Pos-ID prüfen")</f>
        <v>Leitung Vertrieb &amp; Marketing</v>
      </c>
      <c r="C14" s="3"/>
      <c r="D14" s="3"/>
      <c r="E14" s="3"/>
      <c r="F14" s="3"/>
      <c r="G14" s="3"/>
      <c r="H14" s="3"/>
      <c r="J14" s="3" t="str">
        <f>IFERROR(VLOOKUP($J$17,Mitarbeiterdaten!$B$8:$T$67,2,FALSE()),"Pos-ID prüfen")</f>
        <v>Leitung Technik &amp; Betrieb</v>
      </c>
      <c r="K14" s="3"/>
      <c r="L14" s="3"/>
      <c r="M14" s="3"/>
      <c r="N14" s="3"/>
      <c r="O14" s="3"/>
      <c r="P14" s="3"/>
      <c r="R14" s="3" t="str">
        <f>IFERROR(VLOOKUP($R$17,Mitarbeiterdaten!$B$8:$T$67,2,FALSE()),"Pos-ID prüfen")</f>
        <v>Leitung Finanzen &amp; Verwaltung</v>
      </c>
      <c r="S14" s="3"/>
      <c r="T14" s="3"/>
      <c r="U14" s="3"/>
      <c r="V14" s="3"/>
      <c r="W14" s="3"/>
      <c r="X14" s="3"/>
      <c r="Z14" s="3" t="str">
        <f>IFERROR(VLOOKUP($Z$17,Mitarbeiterdaten!$B$8:$T$67,2,FALSE()),"Pos-ID prüfen")</f>
        <v>Leitung Personal</v>
      </c>
      <c r="AA14" s="3"/>
      <c r="AB14" s="3"/>
      <c r="AC14" s="3"/>
      <c r="AD14" s="3"/>
      <c r="AE14" s="3"/>
      <c r="AF14" s="3"/>
    </row>
    <row r="15" spans="1:33" ht="15.75" customHeight="1" x14ac:dyDescent="0.25">
      <c r="B15" s="6" t="str">
        <f>IF($B$17="","",IFERROR(IF(VLOOKUP($B$17,Mitarbeiterdaten!$B$8:$T$67,5,FALSE())="",IF(VLOOKUP($B$17,Mitarbeiterdaten!$B$8:$T$67,12,FALSE())="Vakant","VAKANT – zu besetzen",IF(VLOOKUP($B$17,Mitarbeiterdaten!$B$8:$T$67,12,FALSE())="In Besetzung","In Besetzung","N. N.")),VLOOKUP($B$17,Mitarbeiterdaten!$B$8:$T$67,5,FALSE())),"–"))</f>
        <v>Daniel Brenner</v>
      </c>
      <c r="C15" s="6"/>
      <c r="D15" s="6"/>
      <c r="E15" s="6"/>
      <c r="F15" s="6"/>
      <c r="G15" s="6"/>
      <c r="H15" s="6"/>
      <c r="J15" s="6" t="str">
        <f>IF($J$17="","",IFERROR(IF(VLOOKUP($J$17,Mitarbeiterdaten!$B$8:$T$67,5,FALSE())="",IF(VLOOKUP($J$17,Mitarbeiterdaten!$B$8:$T$67,12,FALSE())="Vakant","VAKANT – zu besetzen",IF(VLOOKUP($J$17,Mitarbeiterdaten!$B$8:$T$67,12,FALSE())="In Besetzung","In Besetzung","N. N.")),VLOOKUP($J$17,Mitarbeiterdaten!$B$8:$T$67,5,FALSE())),"–"))</f>
        <v>Sabine Hartwig</v>
      </c>
      <c r="K15" s="6"/>
      <c r="L15" s="6"/>
      <c r="M15" s="6"/>
      <c r="N15" s="6"/>
      <c r="O15" s="6"/>
      <c r="P15" s="6"/>
      <c r="R15" s="6" t="str">
        <f>IF($R$17="","",IFERROR(IF(VLOOKUP($R$17,Mitarbeiterdaten!$B$8:$T$67,5,FALSE())="",IF(VLOOKUP($R$17,Mitarbeiterdaten!$B$8:$T$67,12,FALSE())="Vakant","VAKANT – zu besetzen",IF(VLOOKUP($R$17,Mitarbeiterdaten!$B$8:$T$67,12,FALSE())="In Besetzung","In Besetzung","N. N.")),VLOOKUP($R$17,Mitarbeiterdaten!$B$8:$T$67,5,FALSE())),"–"))</f>
        <v>Ercan Yilmaz</v>
      </c>
      <c r="S15" s="6"/>
      <c r="T15" s="6"/>
      <c r="U15" s="6"/>
      <c r="V15" s="6"/>
      <c r="W15" s="6"/>
      <c r="X15" s="6"/>
      <c r="Z15" s="6" t="str">
        <f>IF($Z$17="","",IFERROR(IF(VLOOKUP($Z$17,Mitarbeiterdaten!$B$8:$T$67,5,FALSE())="",IF(VLOOKUP($Z$17,Mitarbeiterdaten!$B$8:$T$67,12,FALSE())="Vakant","VAKANT – zu besetzen",IF(VLOOKUP($Z$17,Mitarbeiterdaten!$B$8:$T$67,12,FALSE())="In Besetzung","In Besetzung","N. N.")),VLOOKUP($Z$17,Mitarbeiterdaten!$B$8:$T$67,5,FALSE())),"–"))</f>
        <v>Nadine Kowalski</v>
      </c>
      <c r="AA15" s="6"/>
      <c r="AB15" s="6"/>
      <c r="AC15" s="6"/>
      <c r="AD15" s="6"/>
      <c r="AE15" s="6"/>
      <c r="AF15" s="6"/>
    </row>
    <row r="16" spans="1:33" ht="19.5" customHeight="1" x14ac:dyDescent="0.25">
      <c r="B16" s="5" t="str">
        <f>IF($B$17="","",IFERROR(VLOOKUP($B$17,Mitarbeiterdaten!$B$8:$T$67,9,FALSE())&amp;"  ·  "&amp;FIXED(VLOOKUP($B$17,Mitarbeiterdaten!$B$8:$T$67,11,FALSE()),1)&amp;" FTE  ·  Team "&amp;VLOOKUP($B$17,Mitarbeiterdaten!$B$8:$T$67,16,FALSE()),""))</f>
        <v>München  ·  1,0 FTE  ·  Team 8</v>
      </c>
      <c r="C16" s="5"/>
      <c r="D16" s="5"/>
      <c r="E16" s="5"/>
      <c r="F16" s="5"/>
      <c r="G16" s="5"/>
      <c r="H16" s="5"/>
      <c r="J16" s="5" t="str">
        <f>IF($J$17="","",IFERROR(VLOOKUP($J$17,Mitarbeiterdaten!$B$8:$T$67,9,FALSE())&amp;"  ·  "&amp;FIXED(VLOOKUP($J$17,Mitarbeiterdaten!$B$8:$T$67,11,FALSE()),1)&amp;" FTE  ·  Team "&amp;VLOOKUP($J$17,Mitarbeiterdaten!$B$8:$T$67,16,FALSE()),""))</f>
        <v>Hamburg  ·  1,0 FTE  ·  Team 8</v>
      </c>
      <c r="K16" s="5"/>
      <c r="L16" s="5"/>
      <c r="M16" s="5"/>
      <c r="N16" s="5"/>
      <c r="O16" s="5"/>
      <c r="P16" s="5"/>
      <c r="R16" s="5" t="str">
        <f>IF($R$17="","",IFERROR(VLOOKUP($R$17,Mitarbeiterdaten!$B$8:$T$67,9,FALSE())&amp;"  ·  "&amp;FIXED(VLOOKUP($R$17,Mitarbeiterdaten!$B$8:$T$67,11,FALSE()),1)&amp;" FTE  ·  Team "&amp;VLOOKUP($R$17,Mitarbeiterdaten!$B$8:$T$67,16,FALSE()),""))</f>
        <v>München  ·  1,0 FTE  ·  Team 6</v>
      </c>
      <c r="S16" s="5"/>
      <c r="T16" s="5"/>
      <c r="U16" s="5"/>
      <c r="V16" s="5"/>
      <c r="W16" s="5"/>
      <c r="X16" s="5"/>
      <c r="Z16" s="5" t="str">
        <f>IF($Z$17="","",IFERROR(VLOOKUP($Z$17,Mitarbeiterdaten!$B$8:$T$67,9,FALSE())&amp;"  ·  "&amp;FIXED(VLOOKUP($Z$17,Mitarbeiterdaten!$B$8:$T$67,11,FALSE()),1)&amp;" FTE  ·  Team "&amp;VLOOKUP($Z$17,Mitarbeiterdaten!$B$8:$T$67,16,FALSE()),""))</f>
        <v>Berlin  ·  1,0 FTE  ·  Team 5</v>
      </c>
      <c r="AA16" s="5"/>
      <c r="AB16" s="5"/>
      <c r="AC16" s="5"/>
      <c r="AD16" s="5"/>
      <c r="AE16" s="5"/>
      <c r="AF16" s="5"/>
    </row>
    <row r="17" spans="2:32" ht="15.75" customHeight="1" x14ac:dyDescent="0.25">
      <c r="B17" s="4" t="s">
        <v>6</v>
      </c>
      <c r="C17" s="4"/>
      <c r="D17" s="4"/>
      <c r="E17" s="4"/>
      <c r="F17" s="4"/>
      <c r="G17" s="4"/>
      <c r="H17" s="4"/>
      <c r="J17" s="4" t="s">
        <v>7</v>
      </c>
      <c r="K17" s="4"/>
      <c r="L17" s="4"/>
      <c r="M17" s="4"/>
      <c r="N17" s="4"/>
      <c r="O17" s="4"/>
      <c r="P17" s="4"/>
      <c r="R17" s="4" t="s">
        <v>8</v>
      </c>
      <c r="S17" s="4"/>
      <c r="T17" s="4"/>
      <c r="U17" s="4"/>
      <c r="V17" s="4"/>
      <c r="W17" s="4"/>
      <c r="X17" s="4"/>
      <c r="Z17" s="4" t="s">
        <v>9</v>
      </c>
      <c r="AA17" s="4"/>
      <c r="AB17" s="4"/>
      <c r="AC17" s="4"/>
      <c r="AD17" s="4"/>
      <c r="AE17" s="4"/>
      <c r="AF17" s="4"/>
    </row>
    <row r="18" spans="2:32" ht="7.5" customHeight="1" x14ac:dyDescent="0.25">
      <c r="B18" s="16"/>
      <c r="J18" s="16"/>
      <c r="R18" s="16"/>
      <c r="Z18" s="16"/>
    </row>
    <row r="19" spans="2:32" ht="24" customHeight="1" x14ac:dyDescent="0.25">
      <c r="B19" s="16"/>
      <c r="D19" s="2" t="str">
        <f>IFERROR(VLOOKUP($D$22,Mitarbeiterdaten!$B$8:$T$67,2,FALSE()),"Pos-ID prüfen")</f>
        <v>Teamleitung Innendienst</v>
      </c>
      <c r="E19" s="2"/>
      <c r="F19" s="2"/>
      <c r="G19" s="2"/>
      <c r="H19" s="2"/>
      <c r="J19" s="16"/>
      <c r="L19" s="2" t="str">
        <f>IFERROR(VLOOKUP($L$22,Mitarbeiterdaten!$B$8:$T$67,2,FALSE()),"Pos-ID prüfen")</f>
        <v>Teamleitung Projekte</v>
      </c>
      <c r="M19" s="2"/>
      <c r="N19" s="2"/>
      <c r="O19" s="2"/>
      <c r="P19" s="2"/>
      <c r="R19" s="16"/>
      <c r="T19" s="2" t="str">
        <f>IFERROR(VLOOKUP($T$22,Mitarbeiterdaten!$B$8:$T$67,2,FALSE()),"Pos-ID prüfen")</f>
        <v>Teamleitung Buchhaltung</v>
      </c>
      <c r="U19" s="2"/>
      <c r="V19" s="2"/>
      <c r="W19" s="2"/>
      <c r="X19" s="2"/>
      <c r="Z19" s="16"/>
      <c r="AB19" s="2" t="str">
        <f>IFERROR(VLOOKUP($AB$22,Mitarbeiterdaten!$B$8:$T$67,2,FALSE()),"Pos-ID prüfen")</f>
        <v>Teamleitung Recruiting</v>
      </c>
      <c r="AC19" s="2"/>
      <c r="AD19" s="2"/>
      <c r="AE19" s="2"/>
      <c r="AF19" s="2"/>
    </row>
    <row r="20" spans="2:32" ht="13.5" customHeight="1" x14ac:dyDescent="0.25">
      <c r="B20" s="16"/>
      <c r="C20" s="17"/>
      <c r="D20" s="6" t="str">
        <f>IF($D$22="","",IFERROR(IF(VLOOKUP($D$22,Mitarbeiterdaten!$B$8:$T$67,5,FALSE())="",IF(VLOOKUP($D$22,Mitarbeiterdaten!$B$8:$T$67,12,FALSE())="Vakant","VAKANT – zu besetzen",IF(VLOOKUP($D$22,Mitarbeiterdaten!$B$8:$T$67,12,FALSE())="In Besetzung","In Besetzung","N. N.")),VLOOKUP($D$22,Mitarbeiterdaten!$B$8:$T$67,5,FALSE())),"–"))</f>
        <v>Jonas Pfeiffer</v>
      </c>
      <c r="E20" s="6"/>
      <c r="F20" s="6"/>
      <c r="G20" s="6"/>
      <c r="H20" s="6"/>
      <c r="J20" s="16"/>
      <c r="K20" s="17"/>
      <c r="L20" s="6" t="str">
        <f>IF($L$22="","",IFERROR(IF(VLOOKUP($L$22,Mitarbeiterdaten!$B$8:$T$67,5,FALSE())="",IF(VLOOKUP($L$22,Mitarbeiterdaten!$B$8:$T$67,12,FALSE())="Vakant","VAKANT – zu besetzen",IF(VLOOKUP($L$22,Mitarbeiterdaten!$B$8:$T$67,12,FALSE())="In Besetzung","In Besetzung","N. N.")),VLOOKUP($L$22,Mitarbeiterdaten!$B$8:$T$67,5,FALSE())),"–"))</f>
        <v>Murat Özdemir</v>
      </c>
      <c r="M20" s="6"/>
      <c r="N20" s="6"/>
      <c r="O20" s="6"/>
      <c r="P20" s="6"/>
      <c r="R20" s="16"/>
      <c r="S20" s="17"/>
      <c r="T20" s="6" t="str">
        <f>IF($T$22="","",IFERROR(IF(VLOOKUP($T$22,Mitarbeiterdaten!$B$8:$T$67,5,FALSE())="",IF(VLOOKUP($T$22,Mitarbeiterdaten!$B$8:$T$67,12,FALSE())="Vakant","VAKANT – zu besetzen",IF(VLOOKUP($T$22,Mitarbeiterdaten!$B$8:$T$67,12,FALSE())="In Besetzung","In Besetzung","N. N.")),VLOOKUP($T$22,Mitarbeiterdaten!$B$8:$T$67,5,FALSE())),"–"))</f>
        <v>Silke Brandt</v>
      </c>
      <c r="U20" s="6"/>
      <c r="V20" s="6"/>
      <c r="W20" s="6"/>
      <c r="X20" s="6"/>
      <c r="Z20" s="16"/>
      <c r="AA20" s="17"/>
      <c r="AB20" s="6" t="str">
        <f>IF($AB$22="","",IFERROR(IF(VLOOKUP($AB$22,Mitarbeiterdaten!$B$8:$T$67,5,FALSE())="",IF(VLOOKUP($AB$22,Mitarbeiterdaten!$B$8:$T$67,12,FALSE())="Vakant","VAKANT – zu besetzen",IF(VLOOKUP($AB$22,Mitarbeiterdaten!$B$8:$T$67,12,FALSE())="In Besetzung","In Besetzung","N. N.")),VLOOKUP($AB$22,Mitarbeiterdaten!$B$8:$T$67,5,FALSE())),"–"))</f>
        <v>Julia Stein</v>
      </c>
      <c r="AC20" s="6"/>
      <c r="AD20" s="6"/>
      <c r="AE20" s="6"/>
      <c r="AF20" s="6"/>
    </row>
    <row r="21" spans="2:32" ht="19.5" customHeight="1" x14ac:dyDescent="0.25">
      <c r="B21" s="16"/>
      <c r="D21" s="5" t="str">
        <f>IF($D$22="","",IFERROR(VLOOKUP($D$22,Mitarbeiterdaten!$B$8:$T$67,9,FALSE())&amp;"  ·  "&amp;FIXED(VLOOKUP($D$22,Mitarbeiterdaten!$B$8:$T$67,11,FALSE()),1)&amp;" FTE  ·  Team "&amp;VLOOKUP($D$22,Mitarbeiterdaten!$B$8:$T$67,16,FALSE()),""))</f>
        <v>München  ·  1,0 FTE  ·  Team 2</v>
      </c>
      <c r="E21" s="5"/>
      <c r="F21" s="5"/>
      <c r="G21" s="5"/>
      <c r="H21" s="5"/>
      <c r="J21" s="16"/>
      <c r="L21" s="5" t="str">
        <f>IF($L$22="","",IFERROR(VLOOKUP($L$22,Mitarbeiterdaten!$B$8:$T$67,9,FALSE())&amp;"  ·  "&amp;FIXED(VLOOKUP($L$22,Mitarbeiterdaten!$B$8:$T$67,11,FALSE()),1)&amp;" FTE  ·  Team "&amp;VLOOKUP($L$22,Mitarbeiterdaten!$B$8:$T$67,16,FALSE()),""))</f>
        <v>Hamburg  ·  1,0 FTE  ·  Team 2</v>
      </c>
      <c r="M21" s="5"/>
      <c r="N21" s="5"/>
      <c r="O21" s="5"/>
      <c r="P21" s="5"/>
      <c r="R21" s="16"/>
      <c r="T21" s="5" t="str">
        <f>IF($T$22="","",IFERROR(VLOOKUP($T$22,Mitarbeiterdaten!$B$8:$T$67,9,FALSE())&amp;"  ·  "&amp;FIXED(VLOOKUP($T$22,Mitarbeiterdaten!$B$8:$T$67,11,FALSE()),1)&amp;" FTE  ·  Team "&amp;VLOOKUP($T$22,Mitarbeiterdaten!$B$8:$T$67,16,FALSE()),""))</f>
        <v>München  ·  0,8 FTE  ·  Team 1</v>
      </c>
      <c r="U21" s="5"/>
      <c r="V21" s="5"/>
      <c r="W21" s="5"/>
      <c r="X21" s="5"/>
      <c r="Z21" s="16"/>
      <c r="AB21" s="5" t="str">
        <f>IF($AB$22="","",IFERROR(VLOOKUP($AB$22,Mitarbeiterdaten!$B$8:$T$67,9,FALSE())&amp;"  ·  "&amp;FIXED(VLOOKUP($AB$22,Mitarbeiterdaten!$B$8:$T$67,11,FALSE()),1)&amp;" FTE  ·  Team "&amp;VLOOKUP($AB$22,Mitarbeiterdaten!$B$8:$T$67,16,FALSE()),""))</f>
        <v>Berlin  ·  1,0 FTE  ·  Team 1</v>
      </c>
      <c r="AC21" s="5"/>
      <c r="AD21" s="5"/>
      <c r="AE21" s="5"/>
      <c r="AF21" s="5"/>
    </row>
    <row r="22" spans="2:32" ht="13.5" customHeight="1" x14ac:dyDescent="0.25">
      <c r="B22" s="16"/>
      <c r="D22" s="4" t="s">
        <v>10</v>
      </c>
      <c r="E22" s="4"/>
      <c r="F22" s="4"/>
      <c r="G22" s="4"/>
      <c r="H22" s="4"/>
      <c r="J22" s="16"/>
      <c r="L22" s="4" t="s">
        <v>11</v>
      </c>
      <c r="M22" s="4"/>
      <c r="N22" s="4"/>
      <c r="O22" s="4"/>
      <c r="P22" s="4"/>
      <c r="R22" s="16"/>
      <c r="T22" s="4" t="s">
        <v>12</v>
      </c>
      <c r="U22" s="4"/>
      <c r="V22" s="4"/>
      <c r="W22" s="4"/>
      <c r="X22" s="4"/>
      <c r="Z22" s="16"/>
      <c r="AB22" s="4" t="s">
        <v>13</v>
      </c>
      <c r="AC22" s="4"/>
      <c r="AD22" s="4"/>
      <c r="AE22" s="4"/>
      <c r="AF22" s="4"/>
    </row>
    <row r="23" spans="2:32" ht="7.5" customHeight="1" x14ac:dyDescent="0.25">
      <c r="B23" s="16"/>
      <c r="J23" s="16"/>
      <c r="R23" s="16"/>
      <c r="Z23" s="16"/>
    </row>
    <row r="24" spans="2:32" ht="24" customHeight="1" x14ac:dyDescent="0.25">
      <c r="B24" s="16"/>
      <c r="D24" s="2" t="str">
        <f>IFERROR(VLOOKUP($D$27,Mitarbeiterdaten!$B$8:$T$67,2,FALSE()),"Pos-ID prüfen")</f>
        <v>Teamleitung Außendienst</v>
      </c>
      <c r="E24" s="2"/>
      <c r="F24" s="2"/>
      <c r="G24" s="2"/>
      <c r="H24" s="2"/>
      <c r="J24" s="16"/>
      <c r="L24" s="2" t="str">
        <f>IFERROR(VLOOKUP($L$27,Mitarbeiterdaten!$B$8:$T$67,2,FALSE()),"Pos-ID prüfen")</f>
        <v>Teamleitung Service &amp; Support</v>
      </c>
      <c r="M24" s="2"/>
      <c r="N24" s="2"/>
      <c r="O24" s="2"/>
      <c r="P24" s="2"/>
      <c r="R24" s="16"/>
      <c r="T24" s="2" t="str">
        <f>IFERROR(VLOOKUP($T$27,Mitarbeiterdaten!$B$8:$T$67,2,FALSE()),"Pos-ID prüfen")</f>
        <v>Teamleitung Controlling</v>
      </c>
      <c r="U24" s="2"/>
      <c r="V24" s="2"/>
      <c r="W24" s="2"/>
      <c r="X24" s="2"/>
      <c r="Z24" s="16"/>
      <c r="AB24" s="2" t="str">
        <f>IFERROR(VLOOKUP($AB$27,Mitarbeiterdaten!$B$8:$T$67,2,FALSE()),"Pos-ID prüfen")</f>
        <v>Teamleitung Personalentwicklung</v>
      </c>
      <c r="AC24" s="2"/>
      <c r="AD24" s="2"/>
      <c r="AE24" s="2"/>
      <c r="AF24" s="2"/>
    </row>
    <row r="25" spans="2:32" ht="13.5" customHeight="1" x14ac:dyDescent="0.25">
      <c r="B25" s="16"/>
      <c r="C25" s="17"/>
      <c r="D25" s="6" t="str">
        <f>IF($D$27="","",IFERROR(IF(VLOOKUP($D$27,Mitarbeiterdaten!$B$8:$T$67,5,FALSE())="",IF(VLOOKUP($D$27,Mitarbeiterdaten!$B$8:$T$67,12,FALSE())="Vakant","VAKANT – zu besetzen",IF(VLOOKUP($D$27,Mitarbeiterdaten!$B$8:$T$67,12,FALSE())="In Besetzung","In Besetzung","N. N.")),VLOOKUP($D$27,Mitarbeiterdaten!$B$8:$T$67,5,FALSE())),"–"))</f>
        <v>Lena Schuster</v>
      </c>
      <c r="E25" s="6"/>
      <c r="F25" s="6"/>
      <c r="G25" s="6"/>
      <c r="H25" s="6"/>
      <c r="J25" s="16"/>
      <c r="K25" s="17"/>
      <c r="L25" s="6" t="str">
        <f>IF($L$27="","",IFERROR(IF(VLOOKUP($L$27,Mitarbeiterdaten!$B$8:$T$67,5,FALSE())="",IF(VLOOKUP($L$27,Mitarbeiterdaten!$B$8:$T$67,12,FALSE())="Vakant","VAKANT – zu besetzen",IF(VLOOKUP($L$27,Mitarbeiterdaten!$B$8:$T$67,12,FALSE())="In Besetzung","In Besetzung","N. N.")),VLOOKUP($L$27,Mitarbeiterdaten!$B$8:$T$67,5,FALSE())),"–"))</f>
        <v>Andrea Lindner</v>
      </c>
      <c r="M25" s="6"/>
      <c r="N25" s="6"/>
      <c r="O25" s="6"/>
      <c r="P25" s="6"/>
      <c r="R25" s="16"/>
      <c r="S25" s="17"/>
      <c r="T25" s="6" t="str">
        <f>IF($T$27="","",IFERROR(IF(VLOOKUP($T$27,Mitarbeiterdaten!$B$8:$T$67,5,FALSE())="",IF(VLOOKUP($T$27,Mitarbeiterdaten!$B$8:$T$67,12,FALSE())="Vakant","VAKANT – zu besetzen",IF(VLOOKUP($T$27,Mitarbeiterdaten!$B$8:$T$67,12,FALSE())="In Besetzung","In Besetzung","N. N.")),VLOOKUP($T$27,Mitarbeiterdaten!$B$8:$T$67,5,FALSE())),"–"))</f>
        <v>Fabian Meurer</v>
      </c>
      <c r="U25" s="6"/>
      <c r="V25" s="6"/>
      <c r="W25" s="6"/>
      <c r="X25" s="6"/>
      <c r="Z25" s="16"/>
      <c r="AA25" s="17"/>
      <c r="AB25" s="6" t="str">
        <f>IF($AB$27="","",IFERROR(IF(VLOOKUP($AB$27,Mitarbeiterdaten!$B$8:$T$67,5,FALSE())="",IF(VLOOKUP($AB$27,Mitarbeiterdaten!$B$8:$T$67,12,FALSE())="Vakant","VAKANT – zu besetzen",IF(VLOOKUP($AB$27,Mitarbeiterdaten!$B$8:$T$67,12,FALSE())="In Besetzung","In Besetzung","N. N.")),VLOOKUP($AB$27,Mitarbeiterdaten!$B$8:$T$67,5,FALSE())),"–"))</f>
        <v>Ralf Dittmann</v>
      </c>
      <c r="AC25" s="6"/>
      <c r="AD25" s="6"/>
      <c r="AE25" s="6"/>
      <c r="AF25" s="6"/>
    </row>
    <row r="26" spans="2:32" ht="19.5" customHeight="1" x14ac:dyDescent="0.25">
      <c r="B26" s="16"/>
      <c r="D26" s="5" t="str">
        <f>IF($D$27="","",IFERROR(VLOOKUP($D$27,Mitarbeiterdaten!$B$8:$T$67,9,FALSE())&amp;"  ·  "&amp;FIXED(VLOOKUP($D$27,Mitarbeiterdaten!$B$8:$T$67,11,FALSE()),1)&amp;" FTE  ·  Team "&amp;VLOOKUP($D$27,Mitarbeiterdaten!$B$8:$T$67,16,FALSE()),""))</f>
        <v>Hamburg  ·  1,0 FTE  ·  Team 2</v>
      </c>
      <c r="E26" s="5"/>
      <c r="F26" s="5"/>
      <c r="G26" s="5"/>
      <c r="H26" s="5"/>
      <c r="J26" s="16"/>
      <c r="L26" s="5" t="str">
        <f>IF($L$27="","",IFERROR(VLOOKUP($L$27,Mitarbeiterdaten!$B$8:$T$67,9,FALSE())&amp;"  ·  "&amp;FIXED(VLOOKUP($L$27,Mitarbeiterdaten!$B$8:$T$67,11,FALSE()),1)&amp;" FTE  ·  Team "&amp;VLOOKUP($L$27,Mitarbeiterdaten!$B$8:$T$67,16,FALSE()),""))</f>
        <v>Hamburg  ·  1,0 FTE  ·  Team 2</v>
      </c>
      <c r="M26" s="5"/>
      <c r="N26" s="5"/>
      <c r="O26" s="5"/>
      <c r="P26" s="5"/>
      <c r="R26" s="16"/>
      <c r="T26" s="5" t="str">
        <f>IF($T$27="","",IFERROR(VLOOKUP($T$27,Mitarbeiterdaten!$B$8:$T$67,9,FALSE())&amp;"  ·  "&amp;FIXED(VLOOKUP($T$27,Mitarbeiterdaten!$B$8:$T$67,11,FALSE()),1)&amp;" FTE  ·  Team "&amp;VLOOKUP($T$27,Mitarbeiterdaten!$B$8:$T$67,16,FALSE()),""))</f>
        <v>München  ·  1,0 FTE  ·  Team 1</v>
      </c>
      <c r="U26" s="5"/>
      <c r="V26" s="5"/>
      <c r="W26" s="5"/>
      <c r="X26" s="5"/>
      <c r="Z26" s="16"/>
      <c r="AB26" s="5" t="str">
        <f>IF($AB$27="","",IFERROR(VLOOKUP($AB$27,Mitarbeiterdaten!$B$8:$T$67,9,FALSE())&amp;"  ·  "&amp;FIXED(VLOOKUP($AB$27,Mitarbeiterdaten!$B$8:$T$67,11,FALSE()),1)&amp;" FTE  ·  Team "&amp;VLOOKUP($AB$27,Mitarbeiterdaten!$B$8:$T$67,16,FALSE()),""))</f>
        <v>Berlin  ·  1,0 FTE  ·  Team 1</v>
      </c>
      <c r="AC26" s="5"/>
      <c r="AD26" s="5"/>
      <c r="AE26" s="5"/>
      <c r="AF26" s="5"/>
    </row>
    <row r="27" spans="2:32" ht="13.5" customHeight="1" x14ac:dyDescent="0.25">
      <c r="B27" s="16"/>
      <c r="D27" s="4" t="s">
        <v>14</v>
      </c>
      <c r="E27" s="4"/>
      <c r="F27" s="4"/>
      <c r="G27" s="4"/>
      <c r="H27" s="4"/>
      <c r="J27" s="16"/>
      <c r="L27" s="4" t="s">
        <v>15</v>
      </c>
      <c r="M27" s="4"/>
      <c r="N27" s="4"/>
      <c r="O27" s="4"/>
      <c r="P27" s="4"/>
      <c r="R27" s="16"/>
      <c r="T27" s="4" t="s">
        <v>16</v>
      </c>
      <c r="U27" s="4"/>
      <c r="V27" s="4"/>
      <c r="W27" s="4"/>
      <c r="X27" s="4"/>
      <c r="Z27" s="16"/>
      <c r="AB27" s="4" t="s">
        <v>17</v>
      </c>
      <c r="AC27" s="4"/>
      <c r="AD27" s="4"/>
      <c r="AE27" s="4"/>
      <c r="AF27" s="4"/>
    </row>
    <row r="28" spans="2:32" ht="7.5" customHeight="1" x14ac:dyDescent="0.25">
      <c r="B28" s="16"/>
      <c r="J28" s="16"/>
      <c r="R28" s="16"/>
      <c r="Z28" s="16"/>
    </row>
    <row r="29" spans="2:32" ht="24" customHeight="1" x14ac:dyDescent="0.25">
      <c r="B29" s="16"/>
      <c r="D29" s="2" t="str">
        <f>IFERROR(VLOOKUP($D$32,Mitarbeiterdaten!$B$8:$T$67,2,FALSE()),"Pos-ID prüfen")</f>
        <v>Teamleitung Marketing</v>
      </c>
      <c r="E29" s="2"/>
      <c r="F29" s="2"/>
      <c r="G29" s="2"/>
      <c r="H29" s="2"/>
      <c r="J29" s="16"/>
      <c r="L29" s="2" t="str">
        <f>IFERROR(VLOOKUP($L$32,Mitarbeiterdaten!$B$8:$T$67,2,FALSE()),"Pos-ID prüfen")</f>
        <v>Teamleitung Qualitätsmanagement</v>
      </c>
      <c r="M29" s="2"/>
      <c r="N29" s="2"/>
      <c r="O29" s="2"/>
      <c r="P29" s="2"/>
      <c r="R29" s="16"/>
      <c r="T29" s="2" t="str">
        <f>IFERROR(VLOOKUP($T$32,Mitarbeiterdaten!$B$8:$T$67,2,FALSE()),"Pos-ID prüfen")</f>
        <v>Teamleitung IT</v>
      </c>
      <c r="U29" s="2"/>
      <c r="V29" s="2"/>
      <c r="W29" s="2"/>
      <c r="X29" s="2"/>
      <c r="Z29" s="16"/>
      <c r="AB29" s="2" t="str">
        <f>IFERROR(VLOOKUP($AB$32,Mitarbeiterdaten!$B$8:$T$67,2,FALSE()),"Pos-ID prüfen")</f>
        <v>Teamleitung Entgeltabrechnung</v>
      </c>
      <c r="AC29" s="2"/>
      <c r="AD29" s="2"/>
      <c r="AE29" s="2"/>
      <c r="AF29" s="2"/>
    </row>
    <row r="30" spans="2:32" ht="13.5" customHeight="1" x14ac:dyDescent="0.25">
      <c r="B30" s="16"/>
      <c r="C30" s="17"/>
      <c r="D30" s="6" t="str">
        <f>IF($D$32="","",IFERROR(IF(VLOOKUP($D$32,Mitarbeiterdaten!$B$8:$T$67,5,FALSE())="",IF(VLOOKUP($D$32,Mitarbeiterdaten!$B$8:$T$67,12,FALSE())="Vakant","VAKANT – zu besetzen",IF(VLOOKUP($D$32,Mitarbeiterdaten!$B$8:$T$67,12,FALSE())="In Besetzung","In Besetzung","N. N.")),VLOOKUP($D$32,Mitarbeiterdaten!$B$8:$T$67,5,FALSE())),"–"))</f>
        <v>VAKANT – zu besetzen</v>
      </c>
      <c r="E30" s="6"/>
      <c r="F30" s="6"/>
      <c r="G30" s="6"/>
      <c r="H30" s="6"/>
      <c r="J30" s="16"/>
      <c r="K30" s="17"/>
      <c r="L30" s="6" t="str">
        <f>IF($L$32="","",IFERROR(IF(VLOOKUP($L$32,Mitarbeiterdaten!$B$8:$T$67,5,FALSE())="",IF(VLOOKUP($L$32,Mitarbeiterdaten!$B$8:$T$67,12,FALSE())="Vakant","VAKANT – zu besetzen",IF(VLOOKUP($L$32,Mitarbeiterdaten!$B$8:$T$67,12,FALSE())="In Besetzung","In Besetzung","N. N.")),VLOOKUP($L$32,Mitarbeiterdaten!$B$8:$T$67,5,FALSE())),"–"))</f>
        <v>Peter Nowak</v>
      </c>
      <c r="M30" s="6"/>
      <c r="N30" s="6"/>
      <c r="O30" s="6"/>
      <c r="P30" s="6"/>
      <c r="R30" s="16"/>
      <c r="S30" s="17"/>
      <c r="T30" s="6" t="str">
        <f>IF($T$32="","",IFERROR(IF(VLOOKUP($T$32,Mitarbeiterdaten!$B$8:$T$67,5,FALSE())="",IF(VLOOKUP($T$32,Mitarbeiterdaten!$B$8:$T$67,12,FALSE())="Vakant","VAKANT – zu besetzen",IF(VLOOKUP($T$32,Mitarbeiterdaten!$B$8:$T$67,12,FALSE())="In Besetzung","In Besetzung","N. N.")),VLOOKUP($T$32,Mitarbeiterdaten!$B$8:$T$67,5,FALSE())),"–"))</f>
        <v>Nils Grabowski</v>
      </c>
      <c r="U30" s="6"/>
      <c r="V30" s="6"/>
      <c r="W30" s="6"/>
      <c r="X30" s="6"/>
      <c r="Z30" s="16"/>
      <c r="AA30" s="17"/>
      <c r="AB30" s="6" t="str">
        <f>IF($AB$32="","",IFERROR(IF(VLOOKUP($AB$32,Mitarbeiterdaten!$B$8:$T$67,5,FALSE())="",IF(VLOOKUP($AB$32,Mitarbeiterdaten!$B$8:$T$67,12,FALSE())="Vakant","VAKANT – zu besetzen",IF(VLOOKUP($AB$32,Mitarbeiterdaten!$B$8:$T$67,12,FALSE())="In Besetzung","In Besetzung","N. N.")),VLOOKUP($AB$32,Mitarbeiterdaten!$B$8:$T$67,5,FALSE())),"–"))</f>
        <v>In Besetzung</v>
      </c>
      <c r="AC30" s="6"/>
      <c r="AD30" s="6"/>
      <c r="AE30" s="6"/>
      <c r="AF30" s="6"/>
    </row>
    <row r="31" spans="2:32" ht="19.5" customHeight="1" x14ac:dyDescent="0.25">
      <c r="D31" s="5" t="str">
        <f>IF($D$32="","",IFERROR(VLOOKUP($D$32,Mitarbeiterdaten!$B$8:$T$67,9,FALSE())&amp;"  ·  "&amp;FIXED(VLOOKUP($D$32,Mitarbeiterdaten!$B$8:$T$67,11,FALSE()),1)&amp;" FTE  ·  Team "&amp;VLOOKUP($D$32,Mitarbeiterdaten!$B$8:$T$67,16,FALSE()),""))</f>
        <v>München  ·  1,0 FTE  ·  Team 1</v>
      </c>
      <c r="E31" s="5"/>
      <c r="F31" s="5"/>
      <c r="G31" s="5"/>
      <c r="H31" s="5"/>
      <c r="L31" s="5" t="str">
        <f>IF($L$32="","",IFERROR(VLOOKUP($L$32,Mitarbeiterdaten!$B$8:$T$67,9,FALSE())&amp;"  ·  "&amp;FIXED(VLOOKUP($L$32,Mitarbeiterdaten!$B$8:$T$67,11,FALSE()),1)&amp;" FTE  ·  Team "&amp;VLOOKUP($L$32,Mitarbeiterdaten!$B$8:$T$67,16,FALSE()),""))</f>
        <v>Wien  ·  1,0 FTE  ·  Team 1</v>
      </c>
      <c r="M31" s="5"/>
      <c r="N31" s="5"/>
      <c r="O31" s="5"/>
      <c r="P31" s="5"/>
      <c r="T31" s="5" t="str">
        <f>IF($T$32="","",IFERROR(VLOOKUP($T$32,Mitarbeiterdaten!$B$8:$T$67,9,FALSE())&amp;"  ·  "&amp;FIXED(VLOOKUP($T$32,Mitarbeiterdaten!$B$8:$T$67,11,FALSE()),1)&amp;" FTE  ·  Team "&amp;VLOOKUP($T$32,Mitarbeiterdaten!$B$8:$T$67,16,FALSE()),""))</f>
        <v>Berlin  ·  1,0 FTE  ·  Team 1</v>
      </c>
      <c r="U31" s="5"/>
      <c r="V31" s="5"/>
      <c r="W31" s="5"/>
      <c r="X31" s="5"/>
      <c r="AB31" s="5" t="str">
        <f>IF($AB$32="","",IFERROR(VLOOKUP($AB$32,Mitarbeiterdaten!$B$8:$T$67,9,FALSE())&amp;"  ·  "&amp;FIXED(VLOOKUP($AB$32,Mitarbeiterdaten!$B$8:$T$67,11,FALSE()),1)&amp;" FTE  ·  Team "&amp;VLOOKUP($AB$32,Mitarbeiterdaten!$B$8:$T$67,16,FALSE()),""))</f>
        <v>Berlin  ·  1,0 FTE  ·  Team 0</v>
      </c>
      <c r="AC31" s="5"/>
      <c r="AD31" s="5"/>
      <c r="AE31" s="5"/>
      <c r="AF31" s="5"/>
    </row>
    <row r="32" spans="2:32" ht="13.5" customHeight="1" x14ac:dyDescent="0.25">
      <c r="D32" s="4" t="s">
        <v>18</v>
      </c>
      <c r="E32" s="4"/>
      <c r="F32" s="4"/>
      <c r="G32" s="4"/>
      <c r="H32" s="4"/>
      <c r="L32" s="4" t="s">
        <v>19</v>
      </c>
      <c r="M32" s="4"/>
      <c r="N32" s="4"/>
      <c r="O32" s="4"/>
      <c r="P32" s="4"/>
      <c r="T32" s="4" t="s">
        <v>20</v>
      </c>
      <c r="U32" s="4"/>
      <c r="V32" s="4"/>
      <c r="W32" s="4"/>
      <c r="X32" s="4"/>
      <c r="AB32" s="4" t="s">
        <v>21</v>
      </c>
      <c r="AC32" s="4"/>
      <c r="AD32" s="4"/>
      <c r="AE32" s="4"/>
      <c r="AF32" s="4"/>
    </row>
    <row r="33" spans="2:33" ht="12" customHeight="1" x14ac:dyDescent="0.2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spans="2:33" ht="18" customHeight="1" x14ac:dyDescent="0.25">
      <c r="B34" s="1" t="s">
        <v>22</v>
      </c>
      <c r="C34" s="1"/>
      <c r="D34" s="1"/>
      <c r="E34" s="1"/>
      <c r="F34" s="1"/>
      <c r="G34" s="1"/>
      <c r="H34" s="1"/>
    </row>
    <row r="35" spans="2:33" ht="16.5" customHeight="1" x14ac:dyDescent="0.25">
      <c r="B35" s="20"/>
      <c r="C35" s="62" t="s">
        <v>23</v>
      </c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R35" s="21"/>
      <c r="S35" s="62" t="s">
        <v>24</v>
      </c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</row>
    <row r="36" spans="2:33" ht="16.5" customHeight="1" x14ac:dyDescent="0.25">
      <c r="B36" s="22"/>
      <c r="C36" s="62" t="s">
        <v>25</v>
      </c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R36" s="23"/>
      <c r="S36" s="62" t="s">
        <v>26</v>
      </c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</row>
    <row r="37" spans="2:33" ht="7.5" customHeight="1" x14ac:dyDescent="0.25"/>
    <row r="38" spans="2:33" ht="15" customHeight="1" x14ac:dyDescent="0.25">
      <c r="B38" s="63" t="s">
        <v>27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</row>
    <row r="39" spans="2:33" ht="15" customHeight="1" x14ac:dyDescent="0.25">
      <c r="B39" s="63" t="s">
        <v>28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</row>
    <row r="40" spans="2:33" ht="15" customHeight="1" x14ac:dyDescent="0.25">
      <c r="B40" s="63" t="s">
        <v>29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</row>
  </sheetData>
  <mergeCells count="86">
    <mergeCell ref="B39:AG39"/>
    <mergeCell ref="B40:AG40"/>
    <mergeCell ref="C35:P35"/>
    <mergeCell ref="S35:AF35"/>
    <mergeCell ref="C36:P36"/>
    <mergeCell ref="S36:AF36"/>
    <mergeCell ref="B38:AG38"/>
    <mergeCell ref="D32:H32"/>
    <mergeCell ref="L32:P32"/>
    <mergeCell ref="T32:X32"/>
    <mergeCell ref="AB32:AF32"/>
    <mergeCell ref="B34:H34"/>
    <mergeCell ref="D30:H30"/>
    <mergeCell ref="L30:P30"/>
    <mergeCell ref="T30:X30"/>
    <mergeCell ref="AB30:AF30"/>
    <mergeCell ref="D31:H31"/>
    <mergeCell ref="L31:P31"/>
    <mergeCell ref="T31:X31"/>
    <mergeCell ref="AB31:AF31"/>
    <mergeCell ref="D27:H27"/>
    <mergeCell ref="L27:P27"/>
    <mergeCell ref="T27:X27"/>
    <mergeCell ref="AB27:AF27"/>
    <mergeCell ref="D29:H29"/>
    <mergeCell ref="L29:P29"/>
    <mergeCell ref="T29:X29"/>
    <mergeCell ref="AB29:AF29"/>
    <mergeCell ref="D25:H25"/>
    <mergeCell ref="L25:P25"/>
    <mergeCell ref="T25:X25"/>
    <mergeCell ref="AB25:AF25"/>
    <mergeCell ref="D26:H26"/>
    <mergeCell ref="L26:P26"/>
    <mergeCell ref="T26:X26"/>
    <mergeCell ref="AB26:AF26"/>
    <mergeCell ref="D22:H22"/>
    <mergeCell ref="L22:P22"/>
    <mergeCell ref="T22:X22"/>
    <mergeCell ref="AB22:AF22"/>
    <mergeCell ref="D24:H24"/>
    <mergeCell ref="L24:P24"/>
    <mergeCell ref="T24:X24"/>
    <mergeCell ref="AB24:AF24"/>
    <mergeCell ref="D20:H20"/>
    <mergeCell ref="L20:P20"/>
    <mergeCell ref="T20:X20"/>
    <mergeCell ref="AB20:AF20"/>
    <mergeCell ref="D21:H21"/>
    <mergeCell ref="L21:P21"/>
    <mergeCell ref="T21:X21"/>
    <mergeCell ref="AB21:AF21"/>
    <mergeCell ref="B17:H17"/>
    <mergeCell ref="J17:P17"/>
    <mergeCell ref="R17:X17"/>
    <mergeCell ref="Z17:AF17"/>
    <mergeCell ref="D19:H19"/>
    <mergeCell ref="L19:P19"/>
    <mergeCell ref="T19:X19"/>
    <mergeCell ref="AB19:AF19"/>
    <mergeCell ref="B15:H15"/>
    <mergeCell ref="J15:P15"/>
    <mergeCell ref="R15:X15"/>
    <mergeCell ref="Z15:AF15"/>
    <mergeCell ref="B16:H16"/>
    <mergeCell ref="J16:P16"/>
    <mergeCell ref="R16:X16"/>
    <mergeCell ref="Z16:AF16"/>
    <mergeCell ref="N9:U9"/>
    <mergeCell ref="W9:AC9"/>
    <mergeCell ref="N10:U10"/>
    <mergeCell ref="W10:AC10"/>
    <mergeCell ref="B14:H14"/>
    <mergeCell ref="J14:P14"/>
    <mergeCell ref="R14:X14"/>
    <mergeCell ref="Z14:AF14"/>
    <mergeCell ref="W6:AC6"/>
    <mergeCell ref="N7:U7"/>
    <mergeCell ref="W7:AC7"/>
    <mergeCell ref="N8:U8"/>
    <mergeCell ref="W8:AC8"/>
    <mergeCell ref="A2:U2"/>
    <mergeCell ref="V2:AG2"/>
    <mergeCell ref="A3:U3"/>
    <mergeCell ref="V3:AG3"/>
    <mergeCell ref="A4:AG4"/>
  </mergeCells>
  <conditionalFormatting sqref="B15:H15">
    <cfRule type="expression" dxfId="47" priority="6">
      <formula>ISNUMBER(SEARCH("VAKANT",$B15))</formula>
    </cfRule>
    <cfRule type="expression" dxfId="46" priority="7">
      <formula>ISNUMBER(SEARCH("In Besetzung",$B15))</formula>
    </cfRule>
  </conditionalFormatting>
  <conditionalFormatting sqref="D20:H20">
    <cfRule type="expression" dxfId="45" priority="8">
      <formula>ISNUMBER(SEARCH("VAKANT",$D20))</formula>
    </cfRule>
    <cfRule type="expression" dxfId="44" priority="9">
      <formula>ISNUMBER(SEARCH("In Besetzung",$D20))</formula>
    </cfRule>
  </conditionalFormatting>
  <conditionalFormatting sqref="D25:H25">
    <cfRule type="expression" dxfId="43" priority="10">
      <formula>ISNUMBER(SEARCH("VAKANT",$D25))</formula>
    </cfRule>
    <cfRule type="expression" dxfId="42" priority="11">
      <formula>ISNUMBER(SEARCH("In Besetzung",$D25))</formula>
    </cfRule>
  </conditionalFormatting>
  <conditionalFormatting sqref="D30:H30">
    <cfRule type="expression" dxfId="41" priority="12">
      <formula>ISNUMBER(SEARCH("VAKANT",$D30))</formula>
    </cfRule>
    <cfRule type="expression" dxfId="40" priority="13">
      <formula>ISNUMBER(SEARCH("In Besetzung",$D30))</formula>
    </cfRule>
  </conditionalFormatting>
  <conditionalFormatting sqref="J15:P15">
    <cfRule type="expression" dxfId="39" priority="14">
      <formula>ISNUMBER(SEARCH("VAKANT",$J15))</formula>
    </cfRule>
    <cfRule type="expression" dxfId="38" priority="15">
      <formula>ISNUMBER(SEARCH("In Besetzung",$J15))</formula>
    </cfRule>
  </conditionalFormatting>
  <conditionalFormatting sqref="L20:P20">
    <cfRule type="expression" dxfId="37" priority="16">
      <formula>ISNUMBER(SEARCH("VAKANT",$L20))</formula>
    </cfRule>
    <cfRule type="expression" dxfId="36" priority="17">
      <formula>ISNUMBER(SEARCH("In Besetzung",$L20))</formula>
    </cfRule>
  </conditionalFormatting>
  <conditionalFormatting sqref="L25:P25">
    <cfRule type="expression" dxfId="35" priority="18">
      <formula>ISNUMBER(SEARCH("VAKANT",$L25))</formula>
    </cfRule>
    <cfRule type="expression" dxfId="34" priority="19">
      <formula>ISNUMBER(SEARCH("In Besetzung",$L25))</formula>
    </cfRule>
  </conditionalFormatting>
  <conditionalFormatting sqref="L30:P30">
    <cfRule type="expression" dxfId="33" priority="20">
      <formula>ISNUMBER(SEARCH("VAKANT",$L30))</formula>
    </cfRule>
    <cfRule type="expression" dxfId="32" priority="21">
      <formula>ISNUMBER(SEARCH("In Besetzung",$L30))</formula>
    </cfRule>
  </conditionalFormatting>
  <conditionalFormatting sqref="N8:U8">
    <cfRule type="expression" dxfId="31" priority="3">
      <formula>ISNUMBER(SEARCH("In Besetzung",$N8))</formula>
    </cfRule>
    <cfRule type="expression" dxfId="30" priority="2">
      <formula>ISNUMBER(SEARCH("VAKANT",$N8))</formula>
    </cfRule>
  </conditionalFormatting>
  <conditionalFormatting sqref="R15:X15">
    <cfRule type="expression" dxfId="29" priority="22">
      <formula>ISNUMBER(SEARCH("VAKANT",$R15))</formula>
    </cfRule>
    <cfRule type="expression" dxfId="28" priority="23">
      <formula>ISNUMBER(SEARCH("In Besetzung",$R15))</formula>
    </cfRule>
  </conditionalFormatting>
  <conditionalFormatting sqref="T20:X20">
    <cfRule type="expression" dxfId="27" priority="24">
      <formula>ISNUMBER(SEARCH("VAKANT",$T20))</formula>
    </cfRule>
    <cfRule type="expression" dxfId="26" priority="25">
      <formula>ISNUMBER(SEARCH("In Besetzung",$T20))</formula>
    </cfRule>
  </conditionalFormatting>
  <conditionalFormatting sqref="T25:X25">
    <cfRule type="expression" dxfId="25" priority="26">
      <formula>ISNUMBER(SEARCH("VAKANT",$T25))</formula>
    </cfRule>
    <cfRule type="expression" dxfId="24" priority="27">
      <formula>ISNUMBER(SEARCH("In Besetzung",$T25))</formula>
    </cfRule>
  </conditionalFormatting>
  <conditionalFormatting sqref="T30:X30">
    <cfRule type="expression" dxfId="23" priority="28">
      <formula>ISNUMBER(SEARCH("VAKANT",$T30))</formula>
    </cfRule>
    <cfRule type="expression" dxfId="22" priority="29">
      <formula>ISNUMBER(SEARCH("In Besetzung",$T30))</formula>
    </cfRule>
  </conditionalFormatting>
  <conditionalFormatting sqref="W8:AC8">
    <cfRule type="expression" dxfId="21" priority="4">
      <formula>ISNUMBER(SEARCH("VAKANT",$W8))</formula>
    </cfRule>
    <cfRule type="expression" dxfId="20" priority="5">
      <formula>ISNUMBER(SEARCH("In Besetzung",$W8))</formula>
    </cfRule>
  </conditionalFormatting>
  <conditionalFormatting sqref="Z15:AF15">
    <cfRule type="expression" dxfId="19" priority="30">
      <formula>ISNUMBER(SEARCH("VAKANT",$Z15))</formula>
    </cfRule>
    <cfRule type="expression" dxfId="18" priority="31">
      <formula>ISNUMBER(SEARCH("In Besetzung",$Z15))</formula>
    </cfRule>
  </conditionalFormatting>
  <conditionalFormatting sqref="AB20:AF20">
    <cfRule type="expression" dxfId="17" priority="32">
      <formula>ISNUMBER(SEARCH("VAKANT",$AB20))</formula>
    </cfRule>
    <cfRule type="expression" dxfId="16" priority="33">
      <formula>ISNUMBER(SEARCH("In Besetzung",$AB20))</formula>
    </cfRule>
  </conditionalFormatting>
  <conditionalFormatting sqref="AB25:AF25">
    <cfRule type="expression" dxfId="15" priority="34">
      <formula>ISNUMBER(SEARCH("VAKANT",$AB25))</formula>
    </cfRule>
    <cfRule type="expression" dxfId="14" priority="35">
      <formula>ISNUMBER(SEARCH("In Besetzung",$AB25))</formula>
    </cfRule>
  </conditionalFormatting>
  <conditionalFormatting sqref="AB30:AF30">
    <cfRule type="expression" dxfId="13" priority="36">
      <formula>ISNUMBER(SEARCH("VAKANT",$AB30))</formula>
    </cfRule>
    <cfRule type="expression" dxfId="12" priority="37">
      <formula>ISNUMBER(SEARCH("In Besetzung",$AB30))</formula>
    </cfRule>
  </conditionalFormatting>
  <dataValidations count="1">
    <dataValidation type="list" allowBlank="1" errorTitle="Unbekannte Pos-ID" error="Diese Pos-ID ist im Blatt »Mitarbeiterdaten« nicht vorhanden." promptTitle="Pos-ID auswählen" prompt="Wählen Sie eine Pos-ID aus dem Blatt »Mitarbeiterdaten«. Das Kästchen füllt sich automatisch." sqref="N10:U10 W10:AC10 B17:H17 J17:P17 R17:X17 Z17:AF17 D22:H22 L22:P22 T22:X22 AB22:AF22 D27:H27 L27:P27 T27:X27 AB27:AF27 D32:H32 L32:P32 T32:X32 AB32:AF32" xr:uid="{00000000-0002-0000-0000-000000000000}">
      <formula1>Pos_IDs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1739E"/>
    <pageSetUpPr fitToPage="1"/>
  </sheetPr>
  <dimension ref="B1:T69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9" customWidth="1"/>
    <col min="3" max="3" width="30" customWidth="1"/>
    <col min="4" max="4" width="13" customWidth="1"/>
    <col min="5" max="5" width="15" customWidth="1"/>
    <col min="6" max="6" width="21" customWidth="1"/>
    <col min="7" max="7" width="12" customWidth="1"/>
    <col min="8" max="8" width="7" customWidth="1"/>
    <col min="9" max="9" width="21" customWidth="1"/>
    <col min="10" max="10" width="12" customWidth="1"/>
    <col min="11" max="11" width="15" customWidth="1"/>
    <col min="12" max="12" width="6" customWidth="1"/>
    <col min="13" max="13" width="22" customWidth="1"/>
    <col min="14" max="14" width="11" customWidth="1"/>
    <col min="15" max="17" width="10" customWidth="1"/>
    <col min="18" max="18" width="26" customWidth="1"/>
    <col min="19" max="19" width="30" customWidth="1"/>
    <col min="20" max="20" width="3" hidden="1" customWidth="1"/>
  </cols>
  <sheetData>
    <row r="1" spans="2:20" ht="7.5" customHeight="1" x14ac:dyDescent="0.25"/>
    <row r="2" spans="2:20" ht="33.75" customHeight="1" x14ac:dyDescent="0.25">
      <c r="B2" s="64" t="s">
        <v>30</v>
      </c>
      <c r="C2" s="64"/>
      <c r="D2" s="64"/>
      <c r="E2" s="64"/>
      <c r="F2" s="64"/>
      <c r="G2" s="64"/>
      <c r="H2" s="64"/>
      <c r="I2" s="64"/>
      <c r="J2" s="64"/>
      <c r="K2" s="64"/>
      <c r="L2" s="65" t="s">
        <v>31</v>
      </c>
      <c r="M2" s="65"/>
      <c r="N2" s="65"/>
      <c r="O2" s="65"/>
      <c r="P2" s="65"/>
      <c r="Q2" s="65"/>
      <c r="R2" s="65"/>
      <c r="S2" s="65"/>
    </row>
    <row r="3" spans="2:20" ht="18" customHeight="1" x14ac:dyDescent="0.25">
      <c r="B3" s="12" t="s">
        <v>32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2:20" ht="7.5" customHeight="1" x14ac:dyDescent="0.25"/>
    <row r="5" spans="2:20" ht="21.75" customHeight="1" x14ac:dyDescent="0.25">
      <c r="B5" s="66" t="str">
        <f>"Positionen: "&amp;COUNTA($B$8:$B$67)&amp;"      Besetzt: "&amp;COUNTIF($M$8:$M$67,"Besetzt")&amp;"      Vakant: "&amp;COUNTIF($M$8:$M$67,"Vakant")&amp;"      In Besetzung: "&amp;COUNTIF($M$8:$M$67,"In Besetzung")&amp;"      FTE gesamt: "&amp;ROUND(SUM($L$8:$L$67),1)&amp;"      Führungskräfte: "&amp;COUNTIF($P$8:$P$67,"&gt;0")</f>
        <v>Positionen: 33      Besetzt: 30      Vakant: 1      In Besetzung: 1      FTE gesamt: 30,8      Führungskräfte: 16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2:20" ht="15.75" customHeight="1" x14ac:dyDescent="0.25">
      <c r="B6" s="67" t="s">
        <v>33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2:20" ht="33.75" customHeight="1" x14ac:dyDescent="0.25">
      <c r="B7" s="24" t="s">
        <v>34</v>
      </c>
      <c r="C7" s="25" t="s">
        <v>35</v>
      </c>
      <c r="D7" s="25" t="s">
        <v>36</v>
      </c>
      <c r="E7" s="25" t="s">
        <v>37</v>
      </c>
      <c r="F7" s="25" t="s">
        <v>38</v>
      </c>
      <c r="G7" s="25" t="s">
        <v>39</v>
      </c>
      <c r="H7" s="25" t="s">
        <v>40</v>
      </c>
      <c r="I7" s="25" t="s">
        <v>41</v>
      </c>
      <c r="J7" s="25" t="s">
        <v>42</v>
      </c>
      <c r="K7" s="25" t="s">
        <v>43</v>
      </c>
      <c r="L7" s="25" t="s">
        <v>44</v>
      </c>
      <c r="M7" s="25" t="s">
        <v>45</v>
      </c>
      <c r="N7" s="25" t="s">
        <v>46</v>
      </c>
      <c r="O7" s="25" t="s">
        <v>47</v>
      </c>
      <c r="P7" s="25" t="s">
        <v>48</v>
      </c>
      <c r="Q7" s="25" t="s">
        <v>49</v>
      </c>
      <c r="R7" s="25" t="s">
        <v>50</v>
      </c>
      <c r="S7" s="26" t="s">
        <v>51</v>
      </c>
    </row>
    <row r="8" spans="2:20" ht="18" customHeight="1" x14ac:dyDescent="0.25">
      <c r="B8" s="27" t="s">
        <v>4</v>
      </c>
      <c r="C8" s="28" t="s">
        <v>52</v>
      </c>
      <c r="D8" s="28" t="s">
        <v>53</v>
      </c>
      <c r="E8" s="28" t="s">
        <v>54</v>
      </c>
      <c r="F8" s="29" t="str">
        <f t="shared" ref="F8:F39" si="0">IF($B8="","",TRIM($D8&amp;" "&amp;$E8))</f>
        <v>Katrin Vogel</v>
      </c>
      <c r="G8" s="30"/>
      <c r="H8" s="31">
        <f t="shared" ref="H8:H39" si="1">IF($B8="","",IF($G8="",1,IF(NOT(IFERROR(ISTEXT(VLOOKUP($G8,$B$8:$G$67,6,FALSE())),FALSE())),2,IF(NOT(IFERROR(ISTEXT(VLOOKUP(VLOOKUP($G8,$B$8:$G$67,6,FALSE()),$B$8:$G$67,6,FALSE())),FALSE())),3,IF(NOT(IFERROR(ISTEXT(VLOOKUP(VLOOKUP(VLOOKUP($G8,$B$8:$G$67,6,FALSE()),$B$8:$G$67,6,FALSE()),$B$8:$G$67,6,FALSE())),FALSE())),4,5)))))</f>
        <v>1</v>
      </c>
      <c r="I8" s="28" t="s">
        <v>52</v>
      </c>
      <c r="J8" s="28" t="s">
        <v>55</v>
      </c>
      <c r="K8" s="28" t="s">
        <v>56</v>
      </c>
      <c r="L8" s="32">
        <v>1</v>
      </c>
      <c r="M8" s="28" t="s">
        <v>57</v>
      </c>
      <c r="N8" s="33">
        <v>42430</v>
      </c>
      <c r="O8" s="30" t="s">
        <v>58</v>
      </c>
      <c r="P8" s="34">
        <f t="shared" ref="P8:P39" si="2">IF($B8="","",COUNTIF($G$8:$G$67,$B8))</f>
        <v>5</v>
      </c>
      <c r="Q8" s="34">
        <f t="shared" ref="Q8:Q39" si="3">IF($B8="","",$P8+SUMIF($G$8:$G$67,$B8,$P$8:$P$67)+SUMIF($G$8:$G$67,$B8,$T$8:$T$67))</f>
        <v>32</v>
      </c>
      <c r="R8" s="35" t="str">
        <f t="shared" ref="R8:R39" si="4">IF($B8="","",IF(COUNTIF($B$8:$B$67,$B8)&gt;1,"Pos-ID doppelt vergeben",IF(AND($G8&lt;&gt;"",COUNTIF($B$8:$B$67,$G8)=0),"Vorgesetzten-ID unbekannt",IF($G8=$B8,"Zirkelbezug: berichtet an sich selbst",IF(AND($G8="",COUNTIF($G$8:$G$67,$B8)=0),"Ohne Zuordnung – bitte prüfen",IF($C8="","Positionsbezeichnung fehlt",IF(AND($M8="Besetzt",$F8=""),"Name fehlt",IF($M8="","Status fehlt","OK"))))))))</f>
        <v>OK</v>
      </c>
      <c r="S8" s="36" t="s">
        <v>59</v>
      </c>
      <c r="T8" s="37">
        <f t="shared" ref="T8:T39" si="5">IF($B8="","",SUMIF($G$8:$G$67,$B8,$P$8:$P$67))</f>
        <v>12</v>
      </c>
    </row>
    <row r="9" spans="2:20" ht="18" customHeight="1" x14ac:dyDescent="0.25">
      <c r="B9" s="27" t="s">
        <v>5</v>
      </c>
      <c r="C9" s="28" t="s">
        <v>60</v>
      </c>
      <c r="D9" s="28" t="s">
        <v>61</v>
      </c>
      <c r="E9" s="28" t="s">
        <v>62</v>
      </c>
      <c r="F9" s="29" t="str">
        <f t="shared" si="0"/>
        <v>Miriam Klose</v>
      </c>
      <c r="G9" s="30" t="s">
        <v>4</v>
      </c>
      <c r="H9" s="31">
        <f t="shared" si="1"/>
        <v>2</v>
      </c>
      <c r="I9" s="28" t="s">
        <v>52</v>
      </c>
      <c r="J9" s="28" t="s">
        <v>55</v>
      </c>
      <c r="K9" s="28" t="s">
        <v>63</v>
      </c>
      <c r="L9" s="32">
        <v>0.6</v>
      </c>
      <c r="M9" s="28" t="s">
        <v>57</v>
      </c>
      <c r="N9" s="33">
        <v>44454</v>
      </c>
      <c r="O9" s="30" t="s">
        <v>58</v>
      </c>
      <c r="P9" s="34">
        <f t="shared" si="2"/>
        <v>0</v>
      </c>
      <c r="Q9" s="34">
        <f t="shared" si="3"/>
        <v>0</v>
      </c>
      <c r="R9" s="35" t="str">
        <f t="shared" si="4"/>
        <v>OK</v>
      </c>
      <c r="S9" s="36" t="s">
        <v>64</v>
      </c>
      <c r="T9" s="37">
        <f t="shared" si="5"/>
        <v>0</v>
      </c>
    </row>
    <row r="10" spans="2:20" ht="18" customHeight="1" x14ac:dyDescent="0.25">
      <c r="B10" s="27" t="s">
        <v>6</v>
      </c>
      <c r="C10" s="28" t="s">
        <v>65</v>
      </c>
      <c r="D10" s="28" t="s">
        <v>66</v>
      </c>
      <c r="E10" s="28" t="s">
        <v>67</v>
      </c>
      <c r="F10" s="29" t="str">
        <f t="shared" si="0"/>
        <v>Daniel Brenner</v>
      </c>
      <c r="G10" s="30" t="s">
        <v>4</v>
      </c>
      <c r="H10" s="31">
        <f t="shared" si="1"/>
        <v>2</v>
      </c>
      <c r="I10" s="28" t="s">
        <v>68</v>
      </c>
      <c r="J10" s="28" t="s">
        <v>55</v>
      </c>
      <c r="K10" s="28" t="s">
        <v>56</v>
      </c>
      <c r="L10" s="32">
        <v>1</v>
      </c>
      <c r="M10" s="28" t="s">
        <v>57</v>
      </c>
      <c r="N10" s="33">
        <v>43556</v>
      </c>
      <c r="O10" s="30" t="s">
        <v>69</v>
      </c>
      <c r="P10" s="34">
        <f t="shared" si="2"/>
        <v>3</v>
      </c>
      <c r="Q10" s="34">
        <f t="shared" si="3"/>
        <v>8</v>
      </c>
      <c r="R10" s="35" t="str">
        <f t="shared" si="4"/>
        <v>OK</v>
      </c>
      <c r="S10" s="36"/>
      <c r="T10" s="37">
        <f t="shared" si="5"/>
        <v>5</v>
      </c>
    </row>
    <row r="11" spans="2:20" ht="18" customHeight="1" x14ac:dyDescent="0.25">
      <c r="B11" s="27" t="s">
        <v>10</v>
      </c>
      <c r="C11" s="28" t="s">
        <v>70</v>
      </c>
      <c r="D11" s="28" t="s">
        <v>71</v>
      </c>
      <c r="E11" s="28" t="s">
        <v>72</v>
      </c>
      <c r="F11" s="29" t="str">
        <f t="shared" si="0"/>
        <v>Jonas Pfeiffer</v>
      </c>
      <c r="G11" s="30" t="s">
        <v>6</v>
      </c>
      <c r="H11" s="31">
        <f t="shared" si="1"/>
        <v>3</v>
      </c>
      <c r="I11" s="28" t="s">
        <v>68</v>
      </c>
      <c r="J11" s="28" t="s">
        <v>55</v>
      </c>
      <c r="K11" s="28" t="s">
        <v>56</v>
      </c>
      <c r="L11" s="32">
        <v>1</v>
      </c>
      <c r="M11" s="28" t="s">
        <v>57</v>
      </c>
      <c r="N11" s="33">
        <v>44013</v>
      </c>
      <c r="O11" s="30" t="s">
        <v>73</v>
      </c>
      <c r="P11" s="34">
        <f t="shared" si="2"/>
        <v>2</v>
      </c>
      <c r="Q11" s="34">
        <f t="shared" si="3"/>
        <v>2</v>
      </c>
      <c r="R11" s="35" t="str">
        <f t="shared" si="4"/>
        <v>OK</v>
      </c>
      <c r="S11" s="36"/>
      <c r="T11" s="37">
        <f t="shared" si="5"/>
        <v>0</v>
      </c>
    </row>
    <row r="12" spans="2:20" ht="18" customHeight="1" x14ac:dyDescent="0.25">
      <c r="B12" s="27" t="s">
        <v>74</v>
      </c>
      <c r="C12" s="28" t="s">
        <v>75</v>
      </c>
      <c r="D12" s="28" t="s">
        <v>76</v>
      </c>
      <c r="E12" s="28" t="s">
        <v>77</v>
      </c>
      <c r="F12" s="29" t="str">
        <f t="shared" si="0"/>
        <v>Marco Feldmann</v>
      </c>
      <c r="G12" s="30" t="s">
        <v>10</v>
      </c>
      <c r="H12" s="31">
        <f t="shared" si="1"/>
        <v>4</v>
      </c>
      <c r="I12" s="28" t="s">
        <v>68</v>
      </c>
      <c r="J12" s="28" t="s">
        <v>55</v>
      </c>
      <c r="K12" s="28" t="s">
        <v>56</v>
      </c>
      <c r="L12" s="32">
        <v>1</v>
      </c>
      <c r="M12" s="28" t="s">
        <v>57</v>
      </c>
      <c r="N12" s="33">
        <v>44593</v>
      </c>
      <c r="O12" s="30" t="s">
        <v>73</v>
      </c>
      <c r="P12" s="34">
        <f t="shared" si="2"/>
        <v>0</v>
      </c>
      <c r="Q12" s="34">
        <f t="shared" si="3"/>
        <v>0</v>
      </c>
      <c r="R12" s="35" t="str">
        <f t="shared" si="4"/>
        <v>OK</v>
      </c>
      <c r="S12" s="36"/>
      <c r="T12" s="37">
        <f t="shared" si="5"/>
        <v>0</v>
      </c>
    </row>
    <row r="13" spans="2:20" ht="18" customHeight="1" x14ac:dyDescent="0.25">
      <c r="B13" s="27" t="s">
        <v>78</v>
      </c>
      <c r="C13" s="28" t="s">
        <v>79</v>
      </c>
      <c r="D13" s="28" t="s">
        <v>80</v>
      </c>
      <c r="E13" s="28" t="s">
        <v>81</v>
      </c>
      <c r="F13" s="29" t="str">
        <f t="shared" si="0"/>
        <v>Hanna Zimmer</v>
      </c>
      <c r="G13" s="30" t="s">
        <v>10</v>
      </c>
      <c r="H13" s="31">
        <f t="shared" si="1"/>
        <v>4</v>
      </c>
      <c r="I13" s="28" t="s">
        <v>68</v>
      </c>
      <c r="J13" s="28" t="s">
        <v>55</v>
      </c>
      <c r="K13" s="28" t="s">
        <v>63</v>
      </c>
      <c r="L13" s="32">
        <v>0.8</v>
      </c>
      <c r="M13" s="28" t="s">
        <v>57</v>
      </c>
      <c r="N13" s="33">
        <v>45170</v>
      </c>
      <c r="O13" s="30" t="s">
        <v>73</v>
      </c>
      <c r="P13" s="34">
        <f t="shared" si="2"/>
        <v>0</v>
      </c>
      <c r="Q13" s="34">
        <f t="shared" si="3"/>
        <v>0</v>
      </c>
      <c r="R13" s="35" t="str">
        <f t="shared" si="4"/>
        <v>OK</v>
      </c>
      <c r="S13" s="36"/>
      <c r="T13" s="37">
        <f t="shared" si="5"/>
        <v>0</v>
      </c>
    </row>
    <row r="14" spans="2:20" ht="18" customHeight="1" x14ac:dyDescent="0.25">
      <c r="B14" s="27" t="s">
        <v>14</v>
      </c>
      <c r="C14" s="28" t="s">
        <v>82</v>
      </c>
      <c r="D14" s="28" t="s">
        <v>83</v>
      </c>
      <c r="E14" s="28" t="s">
        <v>84</v>
      </c>
      <c r="F14" s="29" t="str">
        <f t="shared" si="0"/>
        <v>Lena Schuster</v>
      </c>
      <c r="G14" s="30" t="s">
        <v>6</v>
      </c>
      <c r="H14" s="31">
        <f t="shared" si="1"/>
        <v>3</v>
      </c>
      <c r="I14" s="28" t="s">
        <v>68</v>
      </c>
      <c r="J14" s="28" t="s">
        <v>85</v>
      </c>
      <c r="K14" s="28" t="s">
        <v>56</v>
      </c>
      <c r="L14" s="32">
        <v>1</v>
      </c>
      <c r="M14" s="28" t="s">
        <v>57</v>
      </c>
      <c r="N14" s="33">
        <v>44317</v>
      </c>
      <c r="O14" s="30" t="s">
        <v>86</v>
      </c>
      <c r="P14" s="34">
        <f t="shared" si="2"/>
        <v>2</v>
      </c>
      <c r="Q14" s="34">
        <f t="shared" si="3"/>
        <v>2</v>
      </c>
      <c r="R14" s="35" t="str">
        <f t="shared" si="4"/>
        <v>OK</v>
      </c>
      <c r="S14" s="36"/>
      <c r="T14" s="37">
        <f t="shared" si="5"/>
        <v>0</v>
      </c>
    </row>
    <row r="15" spans="2:20" ht="18" customHeight="1" x14ac:dyDescent="0.25">
      <c r="B15" s="27" t="s">
        <v>87</v>
      </c>
      <c r="C15" s="28" t="s">
        <v>88</v>
      </c>
      <c r="D15" s="28" t="s">
        <v>89</v>
      </c>
      <c r="E15" s="28" t="s">
        <v>90</v>
      </c>
      <c r="F15" s="29" t="str">
        <f t="shared" si="0"/>
        <v>Sven Rothe</v>
      </c>
      <c r="G15" s="30" t="s">
        <v>14</v>
      </c>
      <c r="H15" s="31">
        <f t="shared" si="1"/>
        <v>4</v>
      </c>
      <c r="I15" s="28" t="s">
        <v>68</v>
      </c>
      <c r="J15" s="28" t="s">
        <v>85</v>
      </c>
      <c r="K15" s="28" t="s">
        <v>56</v>
      </c>
      <c r="L15" s="32">
        <v>1</v>
      </c>
      <c r="M15" s="28" t="s">
        <v>57</v>
      </c>
      <c r="N15" s="33">
        <v>44621</v>
      </c>
      <c r="O15" s="30" t="s">
        <v>86</v>
      </c>
      <c r="P15" s="34">
        <f t="shared" si="2"/>
        <v>0</v>
      </c>
      <c r="Q15" s="34">
        <f t="shared" si="3"/>
        <v>0</v>
      </c>
      <c r="R15" s="35" t="str">
        <f t="shared" si="4"/>
        <v>OK</v>
      </c>
      <c r="S15" s="36"/>
      <c r="T15" s="37">
        <f t="shared" si="5"/>
        <v>0</v>
      </c>
    </row>
    <row r="16" spans="2:20" ht="18" customHeight="1" x14ac:dyDescent="0.25">
      <c r="B16" s="27" t="s">
        <v>91</v>
      </c>
      <c r="C16" s="28" t="s">
        <v>92</v>
      </c>
      <c r="D16" s="28" t="s">
        <v>93</v>
      </c>
      <c r="E16" s="28" t="s">
        <v>94</v>
      </c>
      <c r="F16" s="29" t="str">
        <f t="shared" si="0"/>
        <v>Alina Brückner</v>
      </c>
      <c r="G16" s="30" t="s">
        <v>14</v>
      </c>
      <c r="H16" s="31">
        <f t="shared" si="1"/>
        <v>4</v>
      </c>
      <c r="I16" s="28" t="s">
        <v>68</v>
      </c>
      <c r="J16" s="28" t="s">
        <v>55</v>
      </c>
      <c r="K16" s="28" t="s">
        <v>56</v>
      </c>
      <c r="L16" s="32">
        <v>1</v>
      </c>
      <c r="M16" s="28" t="s">
        <v>57</v>
      </c>
      <c r="N16" s="33">
        <v>46054</v>
      </c>
      <c r="O16" s="30" t="s">
        <v>86</v>
      </c>
      <c r="P16" s="34">
        <f t="shared" si="2"/>
        <v>0</v>
      </c>
      <c r="Q16" s="34">
        <f t="shared" si="3"/>
        <v>0</v>
      </c>
      <c r="R16" s="35" t="str">
        <f t="shared" si="4"/>
        <v>OK</v>
      </c>
      <c r="S16" s="36" t="s">
        <v>95</v>
      </c>
      <c r="T16" s="37">
        <f t="shared" si="5"/>
        <v>0</v>
      </c>
    </row>
    <row r="17" spans="2:20" ht="18" customHeight="1" x14ac:dyDescent="0.25">
      <c r="B17" s="27" t="s">
        <v>18</v>
      </c>
      <c r="C17" s="28" t="s">
        <v>96</v>
      </c>
      <c r="D17" s="28"/>
      <c r="E17" s="28"/>
      <c r="F17" s="29" t="str">
        <f t="shared" si="0"/>
        <v/>
      </c>
      <c r="G17" s="30" t="s">
        <v>6</v>
      </c>
      <c r="H17" s="31">
        <f t="shared" si="1"/>
        <v>3</v>
      </c>
      <c r="I17" s="28" t="s">
        <v>68</v>
      </c>
      <c r="J17" s="28" t="s">
        <v>55</v>
      </c>
      <c r="K17" s="28" t="s">
        <v>56</v>
      </c>
      <c r="L17" s="32">
        <v>1</v>
      </c>
      <c r="M17" s="28" t="s">
        <v>97</v>
      </c>
      <c r="N17" s="33"/>
      <c r="O17" s="30" t="s">
        <v>98</v>
      </c>
      <c r="P17" s="34">
        <f t="shared" si="2"/>
        <v>1</v>
      </c>
      <c r="Q17" s="34">
        <f t="shared" si="3"/>
        <v>1</v>
      </c>
      <c r="R17" s="35" t="str">
        <f t="shared" si="4"/>
        <v>OK</v>
      </c>
      <c r="S17" s="36" t="s">
        <v>99</v>
      </c>
      <c r="T17" s="37">
        <f t="shared" si="5"/>
        <v>0</v>
      </c>
    </row>
    <row r="18" spans="2:20" ht="18" customHeight="1" x14ac:dyDescent="0.25">
      <c r="B18" s="27" t="s">
        <v>100</v>
      </c>
      <c r="C18" s="28" t="s">
        <v>101</v>
      </c>
      <c r="D18" s="28" t="s">
        <v>102</v>
      </c>
      <c r="E18" s="28" t="s">
        <v>103</v>
      </c>
      <c r="F18" s="29" t="str">
        <f t="shared" si="0"/>
        <v>Tim Haase</v>
      </c>
      <c r="G18" s="30" t="s">
        <v>18</v>
      </c>
      <c r="H18" s="31">
        <f t="shared" si="1"/>
        <v>4</v>
      </c>
      <c r="I18" s="28" t="s">
        <v>68</v>
      </c>
      <c r="J18" s="28" t="s">
        <v>55</v>
      </c>
      <c r="K18" s="28" t="s">
        <v>63</v>
      </c>
      <c r="L18" s="32">
        <v>0.8</v>
      </c>
      <c r="M18" s="28" t="s">
        <v>57</v>
      </c>
      <c r="N18" s="33">
        <v>45566</v>
      </c>
      <c r="O18" s="30" t="s">
        <v>98</v>
      </c>
      <c r="P18" s="34">
        <f t="shared" si="2"/>
        <v>0</v>
      </c>
      <c r="Q18" s="34">
        <f t="shared" si="3"/>
        <v>0</v>
      </c>
      <c r="R18" s="35" t="str">
        <f t="shared" si="4"/>
        <v>OK</v>
      </c>
      <c r="S18" s="36" t="s">
        <v>104</v>
      </c>
      <c r="T18" s="37">
        <f t="shared" si="5"/>
        <v>0</v>
      </c>
    </row>
    <row r="19" spans="2:20" ht="18" customHeight="1" x14ac:dyDescent="0.25">
      <c r="B19" s="27" t="s">
        <v>7</v>
      </c>
      <c r="C19" s="28" t="s">
        <v>105</v>
      </c>
      <c r="D19" s="28" t="s">
        <v>106</v>
      </c>
      <c r="E19" s="28" t="s">
        <v>107</v>
      </c>
      <c r="F19" s="29" t="str">
        <f t="shared" si="0"/>
        <v>Sabine Hartwig</v>
      </c>
      <c r="G19" s="30" t="s">
        <v>4</v>
      </c>
      <c r="H19" s="31">
        <f t="shared" si="1"/>
        <v>2</v>
      </c>
      <c r="I19" s="28" t="s">
        <v>108</v>
      </c>
      <c r="J19" s="28" t="s">
        <v>85</v>
      </c>
      <c r="K19" s="28" t="s">
        <v>56</v>
      </c>
      <c r="L19" s="32">
        <v>1</v>
      </c>
      <c r="M19" s="28" t="s">
        <v>57</v>
      </c>
      <c r="N19" s="33">
        <v>42948</v>
      </c>
      <c r="O19" s="30" t="s">
        <v>109</v>
      </c>
      <c r="P19" s="34">
        <f t="shared" si="2"/>
        <v>3</v>
      </c>
      <c r="Q19" s="34">
        <f t="shared" si="3"/>
        <v>8</v>
      </c>
      <c r="R19" s="35" t="str">
        <f t="shared" si="4"/>
        <v>OK</v>
      </c>
      <c r="S19" s="36"/>
      <c r="T19" s="37">
        <f t="shared" si="5"/>
        <v>5</v>
      </c>
    </row>
    <row r="20" spans="2:20" ht="18" customHeight="1" x14ac:dyDescent="0.25">
      <c r="B20" s="27" t="s">
        <v>11</v>
      </c>
      <c r="C20" s="28" t="s">
        <v>110</v>
      </c>
      <c r="D20" s="28" t="s">
        <v>111</v>
      </c>
      <c r="E20" s="28" t="s">
        <v>112</v>
      </c>
      <c r="F20" s="29" t="str">
        <f t="shared" si="0"/>
        <v>Murat Özdemir</v>
      </c>
      <c r="G20" s="30" t="s">
        <v>7</v>
      </c>
      <c r="H20" s="31">
        <f t="shared" si="1"/>
        <v>3</v>
      </c>
      <c r="I20" s="28" t="s">
        <v>108</v>
      </c>
      <c r="J20" s="28" t="s">
        <v>85</v>
      </c>
      <c r="K20" s="28" t="s">
        <v>56</v>
      </c>
      <c r="L20" s="32">
        <v>1</v>
      </c>
      <c r="M20" s="28" t="s">
        <v>57</v>
      </c>
      <c r="N20" s="33">
        <v>43617</v>
      </c>
      <c r="O20" s="30" t="s">
        <v>113</v>
      </c>
      <c r="P20" s="34">
        <f t="shared" si="2"/>
        <v>2</v>
      </c>
      <c r="Q20" s="34">
        <f t="shared" si="3"/>
        <v>2</v>
      </c>
      <c r="R20" s="35" t="str">
        <f t="shared" si="4"/>
        <v>OK</v>
      </c>
      <c r="S20" s="36"/>
      <c r="T20" s="37">
        <f t="shared" si="5"/>
        <v>0</v>
      </c>
    </row>
    <row r="21" spans="2:20" ht="18" customHeight="1" x14ac:dyDescent="0.25">
      <c r="B21" s="27" t="s">
        <v>114</v>
      </c>
      <c r="C21" s="28" t="s">
        <v>115</v>
      </c>
      <c r="D21" s="28" t="s">
        <v>116</v>
      </c>
      <c r="E21" s="28" t="s">
        <v>117</v>
      </c>
      <c r="F21" s="29" t="str">
        <f t="shared" si="0"/>
        <v>Robert Kiesel</v>
      </c>
      <c r="G21" s="30" t="s">
        <v>11</v>
      </c>
      <c r="H21" s="31">
        <f t="shared" si="1"/>
        <v>4</v>
      </c>
      <c r="I21" s="28" t="s">
        <v>108</v>
      </c>
      <c r="J21" s="28" t="s">
        <v>85</v>
      </c>
      <c r="K21" s="28" t="s">
        <v>56</v>
      </c>
      <c r="L21" s="32">
        <v>1</v>
      </c>
      <c r="M21" s="28" t="s">
        <v>57</v>
      </c>
      <c r="N21" s="33">
        <v>44287</v>
      </c>
      <c r="O21" s="30" t="s">
        <v>113</v>
      </c>
      <c r="P21" s="34">
        <f t="shared" si="2"/>
        <v>0</v>
      </c>
      <c r="Q21" s="34">
        <f t="shared" si="3"/>
        <v>0</v>
      </c>
      <c r="R21" s="35" t="str">
        <f t="shared" si="4"/>
        <v>OK</v>
      </c>
      <c r="S21" s="36"/>
      <c r="T21" s="37">
        <f t="shared" si="5"/>
        <v>0</v>
      </c>
    </row>
    <row r="22" spans="2:20" ht="18" customHeight="1" x14ac:dyDescent="0.25">
      <c r="B22" s="27" t="s">
        <v>118</v>
      </c>
      <c r="C22" s="28" t="s">
        <v>119</v>
      </c>
      <c r="D22" s="28" t="s">
        <v>120</v>
      </c>
      <c r="E22" s="28" t="s">
        <v>121</v>
      </c>
      <c r="F22" s="29" t="str">
        <f t="shared" si="0"/>
        <v>Elena Wagner</v>
      </c>
      <c r="G22" s="30" t="s">
        <v>11</v>
      </c>
      <c r="H22" s="31">
        <f t="shared" si="1"/>
        <v>4</v>
      </c>
      <c r="I22" s="28" t="s">
        <v>108</v>
      </c>
      <c r="J22" s="28" t="s">
        <v>122</v>
      </c>
      <c r="K22" s="28" t="s">
        <v>56</v>
      </c>
      <c r="L22" s="32">
        <v>1</v>
      </c>
      <c r="M22" s="28" t="s">
        <v>57</v>
      </c>
      <c r="N22" s="33">
        <v>44927</v>
      </c>
      <c r="O22" s="30" t="s">
        <v>113</v>
      </c>
      <c r="P22" s="34">
        <f t="shared" si="2"/>
        <v>0</v>
      </c>
      <c r="Q22" s="34">
        <f t="shared" si="3"/>
        <v>0</v>
      </c>
      <c r="R22" s="35" t="str">
        <f t="shared" si="4"/>
        <v>OK</v>
      </c>
      <c r="S22" s="36"/>
      <c r="T22" s="37">
        <f t="shared" si="5"/>
        <v>0</v>
      </c>
    </row>
    <row r="23" spans="2:20" ht="18" customHeight="1" x14ac:dyDescent="0.25">
      <c r="B23" s="27" t="s">
        <v>15</v>
      </c>
      <c r="C23" s="28" t="s">
        <v>123</v>
      </c>
      <c r="D23" s="28" t="s">
        <v>124</v>
      </c>
      <c r="E23" s="28" t="s">
        <v>125</v>
      </c>
      <c r="F23" s="29" t="str">
        <f t="shared" si="0"/>
        <v>Andrea Lindner</v>
      </c>
      <c r="G23" s="30" t="s">
        <v>7</v>
      </c>
      <c r="H23" s="31">
        <f t="shared" si="1"/>
        <v>3</v>
      </c>
      <c r="I23" s="28" t="s">
        <v>108</v>
      </c>
      <c r="J23" s="28" t="s">
        <v>85</v>
      </c>
      <c r="K23" s="28" t="s">
        <v>56</v>
      </c>
      <c r="L23" s="32">
        <v>1</v>
      </c>
      <c r="M23" s="28" t="s">
        <v>57</v>
      </c>
      <c r="N23" s="33">
        <v>44075</v>
      </c>
      <c r="O23" s="30" t="s">
        <v>126</v>
      </c>
      <c r="P23" s="34">
        <f t="shared" si="2"/>
        <v>2</v>
      </c>
      <c r="Q23" s="34">
        <f t="shared" si="3"/>
        <v>2</v>
      </c>
      <c r="R23" s="35" t="str">
        <f t="shared" si="4"/>
        <v>OK</v>
      </c>
      <c r="S23" s="36"/>
      <c r="T23" s="37">
        <f t="shared" si="5"/>
        <v>0</v>
      </c>
    </row>
    <row r="24" spans="2:20" ht="18" customHeight="1" x14ac:dyDescent="0.25">
      <c r="B24" s="27" t="s">
        <v>127</v>
      </c>
      <c r="C24" s="28" t="s">
        <v>128</v>
      </c>
      <c r="D24" s="28" t="s">
        <v>129</v>
      </c>
      <c r="E24" s="28" t="s">
        <v>130</v>
      </c>
      <c r="F24" s="29" t="str">
        <f t="shared" si="0"/>
        <v>Bianca Sommer</v>
      </c>
      <c r="G24" s="30" t="s">
        <v>15</v>
      </c>
      <c r="H24" s="31">
        <f t="shared" si="1"/>
        <v>4</v>
      </c>
      <c r="I24" s="28" t="s">
        <v>108</v>
      </c>
      <c r="J24" s="28" t="s">
        <v>85</v>
      </c>
      <c r="K24" s="28" t="s">
        <v>63</v>
      </c>
      <c r="L24" s="32">
        <v>0.8</v>
      </c>
      <c r="M24" s="28" t="s">
        <v>131</v>
      </c>
      <c r="N24" s="33">
        <v>43770</v>
      </c>
      <c r="O24" s="30" t="s">
        <v>126</v>
      </c>
      <c r="P24" s="34">
        <f t="shared" si="2"/>
        <v>0</v>
      </c>
      <c r="Q24" s="34">
        <f t="shared" si="3"/>
        <v>0</v>
      </c>
      <c r="R24" s="35" t="str">
        <f t="shared" si="4"/>
        <v>OK</v>
      </c>
      <c r="S24" s="36" t="s">
        <v>132</v>
      </c>
      <c r="T24" s="37">
        <f t="shared" si="5"/>
        <v>0</v>
      </c>
    </row>
    <row r="25" spans="2:20" ht="18" customHeight="1" x14ac:dyDescent="0.25">
      <c r="B25" s="27" t="s">
        <v>133</v>
      </c>
      <c r="C25" s="28" t="s">
        <v>134</v>
      </c>
      <c r="D25" s="28" t="s">
        <v>135</v>
      </c>
      <c r="E25" s="28" t="s">
        <v>136</v>
      </c>
      <c r="F25" s="29" t="str">
        <f t="shared" si="0"/>
        <v>Kevin Baumgart</v>
      </c>
      <c r="G25" s="30" t="s">
        <v>15</v>
      </c>
      <c r="H25" s="31">
        <f t="shared" si="1"/>
        <v>4</v>
      </c>
      <c r="I25" s="28" t="s">
        <v>108</v>
      </c>
      <c r="J25" s="28" t="s">
        <v>122</v>
      </c>
      <c r="K25" s="28" t="s">
        <v>56</v>
      </c>
      <c r="L25" s="32">
        <v>1</v>
      </c>
      <c r="M25" s="28" t="s">
        <v>57</v>
      </c>
      <c r="N25" s="33">
        <v>45352</v>
      </c>
      <c r="O25" s="30" t="s">
        <v>126</v>
      </c>
      <c r="P25" s="34">
        <f t="shared" si="2"/>
        <v>0</v>
      </c>
      <c r="Q25" s="34">
        <f t="shared" si="3"/>
        <v>0</v>
      </c>
      <c r="R25" s="35" t="str">
        <f t="shared" si="4"/>
        <v>OK</v>
      </c>
      <c r="S25" s="36"/>
      <c r="T25" s="37">
        <f t="shared" si="5"/>
        <v>0</v>
      </c>
    </row>
    <row r="26" spans="2:20" ht="18" customHeight="1" x14ac:dyDescent="0.25">
      <c r="B26" s="27" t="s">
        <v>19</v>
      </c>
      <c r="C26" s="28" t="s">
        <v>137</v>
      </c>
      <c r="D26" s="28" t="s">
        <v>138</v>
      </c>
      <c r="E26" s="28" t="s">
        <v>139</v>
      </c>
      <c r="F26" s="29" t="str">
        <f t="shared" si="0"/>
        <v>Peter Nowak</v>
      </c>
      <c r="G26" s="30" t="s">
        <v>7</v>
      </c>
      <c r="H26" s="31">
        <f t="shared" si="1"/>
        <v>3</v>
      </c>
      <c r="I26" s="28" t="s">
        <v>108</v>
      </c>
      <c r="J26" s="28" t="s">
        <v>122</v>
      </c>
      <c r="K26" s="28" t="s">
        <v>56</v>
      </c>
      <c r="L26" s="32">
        <v>1</v>
      </c>
      <c r="M26" s="28" t="s">
        <v>57</v>
      </c>
      <c r="N26" s="33">
        <v>43132</v>
      </c>
      <c r="O26" s="30" t="s">
        <v>140</v>
      </c>
      <c r="P26" s="34">
        <f t="shared" si="2"/>
        <v>1</v>
      </c>
      <c r="Q26" s="34">
        <f t="shared" si="3"/>
        <v>1</v>
      </c>
      <c r="R26" s="35" t="str">
        <f t="shared" si="4"/>
        <v>OK</v>
      </c>
      <c r="S26" s="36"/>
      <c r="T26" s="37">
        <f t="shared" si="5"/>
        <v>0</v>
      </c>
    </row>
    <row r="27" spans="2:20" ht="18" customHeight="1" x14ac:dyDescent="0.25">
      <c r="B27" s="27" t="s">
        <v>141</v>
      </c>
      <c r="C27" s="28" t="s">
        <v>142</v>
      </c>
      <c r="D27" s="28" t="s">
        <v>143</v>
      </c>
      <c r="E27" s="28" t="s">
        <v>144</v>
      </c>
      <c r="F27" s="29" t="str">
        <f t="shared" si="0"/>
        <v>Denise Achterberg</v>
      </c>
      <c r="G27" s="30" t="s">
        <v>19</v>
      </c>
      <c r="H27" s="31">
        <f t="shared" si="1"/>
        <v>4</v>
      </c>
      <c r="I27" s="28" t="s">
        <v>108</v>
      </c>
      <c r="J27" s="28" t="s">
        <v>122</v>
      </c>
      <c r="K27" s="28" t="s">
        <v>63</v>
      </c>
      <c r="L27" s="32">
        <v>0.6</v>
      </c>
      <c r="M27" s="28" t="s">
        <v>57</v>
      </c>
      <c r="N27" s="33">
        <v>44774</v>
      </c>
      <c r="O27" s="30" t="s">
        <v>140</v>
      </c>
      <c r="P27" s="34">
        <f t="shared" si="2"/>
        <v>0</v>
      </c>
      <c r="Q27" s="34">
        <f t="shared" si="3"/>
        <v>0</v>
      </c>
      <c r="R27" s="35" t="str">
        <f t="shared" si="4"/>
        <v>OK</v>
      </c>
      <c r="S27" s="36"/>
      <c r="T27" s="37">
        <f t="shared" si="5"/>
        <v>0</v>
      </c>
    </row>
    <row r="28" spans="2:20" ht="18" customHeight="1" x14ac:dyDescent="0.25">
      <c r="B28" s="27" t="s">
        <v>8</v>
      </c>
      <c r="C28" s="28" t="s">
        <v>145</v>
      </c>
      <c r="D28" s="28" t="s">
        <v>146</v>
      </c>
      <c r="E28" s="28" t="s">
        <v>147</v>
      </c>
      <c r="F28" s="29" t="str">
        <f t="shared" si="0"/>
        <v>Ercan Yilmaz</v>
      </c>
      <c r="G28" s="30" t="s">
        <v>4</v>
      </c>
      <c r="H28" s="31">
        <f t="shared" si="1"/>
        <v>2</v>
      </c>
      <c r="I28" s="28" t="s">
        <v>148</v>
      </c>
      <c r="J28" s="28" t="s">
        <v>55</v>
      </c>
      <c r="K28" s="28" t="s">
        <v>56</v>
      </c>
      <c r="L28" s="32">
        <v>1</v>
      </c>
      <c r="M28" s="28" t="s">
        <v>57</v>
      </c>
      <c r="N28" s="33">
        <v>43862</v>
      </c>
      <c r="O28" s="30" t="s">
        <v>149</v>
      </c>
      <c r="P28" s="34">
        <f t="shared" si="2"/>
        <v>3</v>
      </c>
      <c r="Q28" s="34">
        <f t="shared" si="3"/>
        <v>6</v>
      </c>
      <c r="R28" s="35" t="str">
        <f t="shared" si="4"/>
        <v>OK</v>
      </c>
      <c r="S28" s="36"/>
      <c r="T28" s="37">
        <f t="shared" si="5"/>
        <v>3</v>
      </c>
    </row>
    <row r="29" spans="2:20" ht="18" customHeight="1" x14ac:dyDescent="0.25">
      <c r="B29" s="27" t="s">
        <v>12</v>
      </c>
      <c r="C29" s="28" t="s">
        <v>150</v>
      </c>
      <c r="D29" s="28" t="s">
        <v>151</v>
      </c>
      <c r="E29" s="28" t="s">
        <v>152</v>
      </c>
      <c r="F29" s="29" t="str">
        <f t="shared" si="0"/>
        <v>Silke Brandt</v>
      </c>
      <c r="G29" s="30" t="s">
        <v>8</v>
      </c>
      <c r="H29" s="31">
        <f t="shared" si="1"/>
        <v>3</v>
      </c>
      <c r="I29" s="28" t="s">
        <v>148</v>
      </c>
      <c r="J29" s="28" t="s">
        <v>55</v>
      </c>
      <c r="K29" s="28" t="s">
        <v>63</v>
      </c>
      <c r="L29" s="32">
        <v>0.8</v>
      </c>
      <c r="M29" s="28" t="s">
        <v>57</v>
      </c>
      <c r="N29" s="33">
        <v>43221</v>
      </c>
      <c r="O29" s="30" t="s">
        <v>153</v>
      </c>
      <c r="P29" s="34">
        <f t="shared" si="2"/>
        <v>1</v>
      </c>
      <c r="Q29" s="34">
        <f t="shared" si="3"/>
        <v>1</v>
      </c>
      <c r="R29" s="35" t="str">
        <f t="shared" si="4"/>
        <v>OK</v>
      </c>
      <c r="S29" s="36"/>
      <c r="T29" s="37">
        <f t="shared" si="5"/>
        <v>0</v>
      </c>
    </row>
    <row r="30" spans="2:20" ht="18" customHeight="1" x14ac:dyDescent="0.25">
      <c r="B30" s="27" t="s">
        <v>154</v>
      </c>
      <c r="C30" s="28" t="s">
        <v>155</v>
      </c>
      <c r="D30" s="28" t="s">
        <v>156</v>
      </c>
      <c r="E30" s="28" t="s">
        <v>157</v>
      </c>
      <c r="F30" s="29" t="str">
        <f t="shared" si="0"/>
        <v>Olaf Kranz</v>
      </c>
      <c r="G30" s="30" t="s">
        <v>12</v>
      </c>
      <c r="H30" s="31">
        <f t="shared" si="1"/>
        <v>4</v>
      </c>
      <c r="I30" s="28" t="s">
        <v>148</v>
      </c>
      <c r="J30" s="28" t="s">
        <v>55</v>
      </c>
      <c r="K30" s="28" t="s">
        <v>56</v>
      </c>
      <c r="L30" s="32">
        <v>1</v>
      </c>
      <c r="M30" s="28" t="s">
        <v>57</v>
      </c>
      <c r="N30" s="33">
        <v>44440</v>
      </c>
      <c r="O30" s="30" t="s">
        <v>153</v>
      </c>
      <c r="P30" s="34">
        <f t="shared" si="2"/>
        <v>0</v>
      </c>
      <c r="Q30" s="34">
        <f t="shared" si="3"/>
        <v>0</v>
      </c>
      <c r="R30" s="35" t="str">
        <f t="shared" si="4"/>
        <v>OK</v>
      </c>
      <c r="S30" s="36"/>
      <c r="T30" s="37">
        <f t="shared" si="5"/>
        <v>0</v>
      </c>
    </row>
    <row r="31" spans="2:20" ht="18" customHeight="1" x14ac:dyDescent="0.25">
      <c r="B31" s="27" t="s">
        <v>16</v>
      </c>
      <c r="C31" s="28" t="s">
        <v>158</v>
      </c>
      <c r="D31" s="28" t="s">
        <v>159</v>
      </c>
      <c r="E31" s="28" t="s">
        <v>160</v>
      </c>
      <c r="F31" s="29" t="str">
        <f t="shared" si="0"/>
        <v>Fabian Meurer</v>
      </c>
      <c r="G31" s="30" t="s">
        <v>8</v>
      </c>
      <c r="H31" s="31">
        <f t="shared" si="1"/>
        <v>3</v>
      </c>
      <c r="I31" s="28" t="s">
        <v>148</v>
      </c>
      <c r="J31" s="28" t="s">
        <v>55</v>
      </c>
      <c r="K31" s="28" t="s">
        <v>56</v>
      </c>
      <c r="L31" s="32">
        <v>1</v>
      </c>
      <c r="M31" s="28" t="s">
        <v>57</v>
      </c>
      <c r="N31" s="33">
        <v>44562</v>
      </c>
      <c r="O31" s="30" t="s">
        <v>161</v>
      </c>
      <c r="P31" s="34">
        <f t="shared" si="2"/>
        <v>1</v>
      </c>
      <c r="Q31" s="34">
        <f t="shared" si="3"/>
        <v>1</v>
      </c>
      <c r="R31" s="35" t="str">
        <f t="shared" si="4"/>
        <v>OK</v>
      </c>
      <c r="S31" s="36"/>
      <c r="T31" s="37">
        <f t="shared" si="5"/>
        <v>0</v>
      </c>
    </row>
    <row r="32" spans="2:20" ht="18" customHeight="1" x14ac:dyDescent="0.25">
      <c r="B32" s="27" t="s">
        <v>162</v>
      </c>
      <c r="C32" s="28" t="s">
        <v>163</v>
      </c>
      <c r="D32" s="28" t="s">
        <v>164</v>
      </c>
      <c r="E32" s="28" t="s">
        <v>165</v>
      </c>
      <c r="F32" s="29" t="str">
        <f t="shared" si="0"/>
        <v>Yvonne Maier</v>
      </c>
      <c r="G32" s="30" t="s">
        <v>16</v>
      </c>
      <c r="H32" s="31">
        <f t="shared" si="1"/>
        <v>4</v>
      </c>
      <c r="I32" s="28" t="s">
        <v>148</v>
      </c>
      <c r="J32" s="28" t="s">
        <v>166</v>
      </c>
      <c r="K32" s="28" t="s">
        <v>56</v>
      </c>
      <c r="L32" s="32">
        <v>1</v>
      </c>
      <c r="M32" s="28" t="s">
        <v>57</v>
      </c>
      <c r="N32" s="33">
        <v>45017</v>
      </c>
      <c r="O32" s="30" t="s">
        <v>161</v>
      </c>
      <c r="P32" s="34">
        <f t="shared" si="2"/>
        <v>0</v>
      </c>
      <c r="Q32" s="34">
        <f t="shared" si="3"/>
        <v>0</v>
      </c>
      <c r="R32" s="35" t="str">
        <f t="shared" si="4"/>
        <v>OK</v>
      </c>
      <c r="S32" s="36"/>
      <c r="T32" s="37">
        <f t="shared" si="5"/>
        <v>0</v>
      </c>
    </row>
    <row r="33" spans="2:20" ht="18" customHeight="1" x14ac:dyDescent="0.25">
      <c r="B33" s="27" t="s">
        <v>20</v>
      </c>
      <c r="C33" s="28" t="s">
        <v>167</v>
      </c>
      <c r="D33" s="28" t="s">
        <v>168</v>
      </c>
      <c r="E33" s="28" t="s">
        <v>169</v>
      </c>
      <c r="F33" s="29" t="str">
        <f t="shared" si="0"/>
        <v>Nils Grabowski</v>
      </c>
      <c r="G33" s="30" t="s">
        <v>8</v>
      </c>
      <c r="H33" s="31">
        <f t="shared" si="1"/>
        <v>3</v>
      </c>
      <c r="I33" s="28" t="s">
        <v>148</v>
      </c>
      <c r="J33" s="28" t="s">
        <v>166</v>
      </c>
      <c r="K33" s="28" t="s">
        <v>56</v>
      </c>
      <c r="L33" s="32">
        <v>1</v>
      </c>
      <c r="M33" s="28" t="s">
        <v>57</v>
      </c>
      <c r="N33" s="33">
        <v>44256</v>
      </c>
      <c r="O33" s="30" t="s">
        <v>170</v>
      </c>
      <c r="P33" s="34">
        <f t="shared" si="2"/>
        <v>1</v>
      </c>
      <c r="Q33" s="34">
        <f t="shared" si="3"/>
        <v>1</v>
      </c>
      <c r="R33" s="35" t="str">
        <f t="shared" si="4"/>
        <v>OK</v>
      </c>
      <c r="S33" s="36"/>
      <c r="T33" s="37">
        <f t="shared" si="5"/>
        <v>0</v>
      </c>
    </row>
    <row r="34" spans="2:20" ht="18" customHeight="1" x14ac:dyDescent="0.25">
      <c r="B34" s="27" t="s">
        <v>171</v>
      </c>
      <c r="C34" s="28" t="s">
        <v>172</v>
      </c>
      <c r="D34" s="28" t="s">
        <v>173</v>
      </c>
      <c r="E34" s="28" t="s">
        <v>174</v>
      </c>
      <c r="F34" s="29" t="str">
        <f t="shared" si="0"/>
        <v>Timo Reichert</v>
      </c>
      <c r="G34" s="30" t="s">
        <v>20</v>
      </c>
      <c r="H34" s="31">
        <f t="shared" si="1"/>
        <v>4</v>
      </c>
      <c r="I34" s="28" t="s">
        <v>148</v>
      </c>
      <c r="J34" s="28" t="s">
        <v>175</v>
      </c>
      <c r="K34" s="28" t="s">
        <v>56</v>
      </c>
      <c r="L34" s="32">
        <v>1</v>
      </c>
      <c r="M34" s="28" t="s">
        <v>57</v>
      </c>
      <c r="N34" s="33">
        <v>45444</v>
      </c>
      <c r="O34" s="30" t="s">
        <v>170</v>
      </c>
      <c r="P34" s="34">
        <f t="shared" si="2"/>
        <v>0</v>
      </c>
      <c r="Q34" s="34">
        <f t="shared" si="3"/>
        <v>0</v>
      </c>
      <c r="R34" s="35" t="str">
        <f t="shared" si="4"/>
        <v>OK</v>
      </c>
      <c r="S34" s="36"/>
      <c r="T34" s="37">
        <f t="shared" si="5"/>
        <v>0</v>
      </c>
    </row>
    <row r="35" spans="2:20" ht="18" customHeight="1" x14ac:dyDescent="0.25">
      <c r="B35" s="27" t="s">
        <v>9</v>
      </c>
      <c r="C35" s="28" t="s">
        <v>176</v>
      </c>
      <c r="D35" s="28" t="s">
        <v>177</v>
      </c>
      <c r="E35" s="28" t="s">
        <v>178</v>
      </c>
      <c r="F35" s="29" t="str">
        <f t="shared" si="0"/>
        <v>Nadine Kowalski</v>
      </c>
      <c r="G35" s="30" t="s">
        <v>4</v>
      </c>
      <c r="H35" s="31">
        <f t="shared" si="1"/>
        <v>2</v>
      </c>
      <c r="I35" s="28" t="s">
        <v>179</v>
      </c>
      <c r="J35" s="28" t="s">
        <v>166</v>
      </c>
      <c r="K35" s="28" t="s">
        <v>56</v>
      </c>
      <c r="L35" s="32">
        <v>1</v>
      </c>
      <c r="M35" s="28" t="s">
        <v>57</v>
      </c>
      <c r="N35" s="33">
        <v>43739</v>
      </c>
      <c r="O35" s="30" t="s">
        <v>180</v>
      </c>
      <c r="P35" s="34">
        <f t="shared" si="2"/>
        <v>3</v>
      </c>
      <c r="Q35" s="34">
        <f t="shared" si="3"/>
        <v>5</v>
      </c>
      <c r="R35" s="35" t="str">
        <f t="shared" si="4"/>
        <v>OK</v>
      </c>
      <c r="S35" s="36"/>
      <c r="T35" s="37">
        <f t="shared" si="5"/>
        <v>2</v>
      </c>
    </row>
    <row r="36" spans="2:20" ht="18" customHeight="1" x14ac:dyDescent="0.25">
      <c r="B36" s="27" t="s">
        <v>13</v>
      </c>
      <c r="C36" s="28" t="s">
        <v>181</v>
      </c>
      <c r="D36" s="28" t="s">
        <v>182</v>
      </c>
      <c r="E36" s="28" t="s">
        <v>183</v>
      </c>
      <c r="F36" s="29" t="str">
        <f t="shared" si="0"/>
        <v>Julia Stein</v>
      </c>
      <c r="G36" s="30" t="s">
        <v>9</v>
      </c>
      <c r="H36" s="31">
        <f t="shared" si="1"/>
        <v>3</v>
      </c>
      <c r="I36" s="28" t="s">
        <v>179</v>
      </c>
      <c r="J36" s="28" t="s">
        <v>166</v>
      </c>
      <c r="K36" s="28" t="s">
        <v>56</v>
      </c>
      <c r="L36" s="32">
        <v>1</v>
      </c>
      <c r="M36" s="28" t="s">
        <v>57</v>
      </c>
      <c r="N36" s="33">
        <v>44228</v>
      </c>
      <c r="O36" s="30" t="s">
        <v>184</v>
      </c>
      <c r="P36" s="34">
        <f t="shared" si="2"/>
        <v>1</v>
      </c>
      <c r="Q36" s="34">
        <f t="shared" si="3"/>
        <v>1</v>
      </c>
      <c r="R36" s="35" t="str">
        <f t="shared" si="4"/>
        <v>OK</v>
      </c>
      <c r="S36" s="36"/>
      <c r="T36" s="37">
        <f t="shared" si="5"/>
        <v>0</v>
      </c>
    </row>
    <row r="37" spans="2:20" ht="18" customHeight="1" x14ac:dyDescent="0.25">
      <c r="B37" s="27" t="s">
        <v>185</v>
      </c>
      <c r="C37" s="28" t="s">
        <v>186</v>
      </c>
      <c r="D37" s="28" t="s">
        <v>187</v>
      </c>
      <c r="E37" s="28" t="s">
        <v>188</v>
      </c>
      <c r="F37" s="29" t="str">
        <f t="shared" si="0"/>
        <v>Sarah Wendt</v>
      </c>
      <c r="G37" s="30" t="s">
        <v>13</v>
      </c>
      <c r="H37" s="31">
        <f t="shared" si="1"/>
        <v>4</v>
      </c>
      <c r="I37" s="28" t="s">
        <v>179</v>
      </c>
      <c r="J37" s="28" t="s">
        <v>166</v>
      </c>
      <c r="K37" s="28" t="s">
        <v>63</v>
      </c>
      <c r="L37" s="32">
        <v>0.8</v>
      </c>
      <c r="M37" s="28" t="s">
        <v>57</v>
      </c>
      <c r="N37" s="33">
        <v>45047</v>
      </c>
      <c r="O37" s="30" t="s">
        <v>184</v>
      </c>
      <c r="P37" s="34">
        <f t="shared" si="2"/>
        <v>0</v>
      </c>
      <c r="Q37" s="34">
        <f t="shared" si="3"/>
        <v>0</v>
      </c>
      <c r="R37" s="35" t="str">
        <f t="shared" si="4"/>
        <v>OK</v>
      </c>
      <c r="S37" s="36"/>
      <c r="T37" s="37">
        <f t="shared" si="5"/>
        <v>0</v>
      </c>
    </row>
    <row r="38" spans="2:20" ht="18" customHeight="1" x14ac:dyDescent="0.25">
      <c r="B38" s="27" t="s">
        <v>17</v>
      </c>
      <c r="C38" s="28" t="s">
        <v>189</v>
      </c>
      <c r="D38" s="28" t="s">
        <v>190</v>
      </c>
      <c r="E38" s="28" t="s">
        <v>191</v>
      </c>
      <c r="F38" s="29" t="str">
        <f t="shared" si="0"/>
        <v>Ralf Dittmann</v>
      </c>
      <c r="G38" s="30" t="s">
        <v>9</v>
      </c>
      <c r="H38" s="31">
        <f t="shared" si="1"/>
        <v>3</v>
      </c>
      <c r="I38" s="28" t="s">
        <v>179</v>
      </c>
      <c r="J38" s="28" t="s">
        <v>166</v>
      </c>
      <c r="K38" s="28" t="s">
        <v>56</v>
      </c>
      <c r="L38" s="32">
        <v>1</v>
      </c>
      <c r="M38" s="28" t="s">
        <v>57</v>
      </c>
      <c r="N38" s="33">
        <v>44013</v>
      </c>
      <c r="O38" s="30" t="s">
        <v>192</v>
      </c>
      <c r="P38" s="34">
        <f t="shared" si="2"/>
        <v>1</v>
      </c>
      <c r="Q38" s="34">
        <f t="shared" si="3"/>
        <v>1</v>
      </c>
      <c r="R38" s="35" t="str">
        <f t="shared" si="4"/>
        <v>OK</v>
      </c>
      <c r="S38" s="36"/>
      <c r="T38" s="37">
        <f t="shared" si="5"/>
        <v>0</v>
      </c>
    </row>
    <row r="39" spans="2:20" ht="18" customHeight="1" x14ac:dyDescent="0.25">
      <c r="B39" s="27" t="s">
        <v>193</v>
      </c>
      <c r="C39" s="28" t="s">
        <v>194</v>
      </c>
      <c r="D39" s="28" t="s">
        <v>195</v>
      </c>
      <c r="E39" s="28" t="s">
        <v>196</v>
      </c>
      <c r="F39" s="29" t="str">
        <f t="shared" si="0"/>
        <v>Ben Hofstetter</v>
      </c>
      <c r="G39" s="30" t="s">
        <v>17</v>
      </c>
      <c r="H39" s="31">
        <f t="shared" si="1"/>
        <v>4</v>
      </c>
      <c r="I39" s="28" t="s">
        <v>179</v>
      </c>
      <c r="J39" s="28" t="s">
        <v>175</v>
      </c>
      <c r="K39" s="28" t="s">
        <v>63</v>
      </c>
      <c r="L39" s="32">
        <v>0.6</v>
      </c>
      <c r="M39" s="28" t="s">
        <v>57</v>
      </c>
      <c r="N39" s="33">
        <v>45901</v>
      </c>
      <c r="O39" s="30" t="s">
        <v>192</v>
      </c>
      <c r="P39" s="34">
        <f t="shared" si="2"/>
        <v>0</v>
      </c>
      <c r="Q39" s="34">
        <f t="shared" si="3"/>
        <v>0</v>
      </c>
      <c r="R39" s="35" t="str">
        <f t="shared" si="4"/>
        <v>OK</v>
      </c>
      <c r="S39" s="36"/>
      <c r="T39" s="37">
        <f t="shared" si="5"/>
        <v>0</v>
      </c>
    </row>
    <row r="40" spans="2:20" ht="18" customHeight="1" x14ac:dyDescent="0.25">
      <c r="B40" s="27" t="s">
        <v>21</v>
      </c>
      <c r="C40" s="28" t="s">
        <v>197</v>
      </c>
      <c r="D40" s="28"/>
      <c r="E40" s="28"/>
      <c r="F40" s="29" t="str">
        <f t="shared" ref="F40:F67" si="6">IF($B40="","",TRIM($D40&amp;" "&amp;$E40))</f>
        <v/>
      </c>
      <c r="G40" s="30" t="s">
        <v>9</v>
      </c>
      <c r="H40" s="31">
        <f t="shared" ref="H40:H67" si="7">IF($B40="","",IF($G40="",1,IF(NOT(IFERROR(ISTEXT(VLOOKUP($G40,$B$8:$G$67,6,FALSE())),FALSE())),2,IF(NOT(IFERROR(ISTEXT(VLOOKUP(VLOOKUP($G40,$B$8:$G$67,6,FALSE()),$B$8:$G$67,6,FALSE())),FALSE())),3,IF(NOT(IFERROR(ISTEXT(VLOOKUP(VLOOKUP(VLOOKUP($G40,$B$8:$G$67,6,FALSE()),$B$8:$G$67,6,FALSE()),$B$8:$G$67,6,FALSE())),FALSE())),4,5)))))</f>
        <v>3</v>
      </c>
      <c r="I40" s="28" t="s">
        <v>179</v>
      </c>
      <c r="J40" s="28" t="s">
        <v>166</v>
      </c>
      <c r="K40" s="28" t="s">
        <v>56</v>
      </c>
      <c r="L40" s="32">
        <v>1</v>
      </c>
      <c r="M40" s="28" t="s">
        <v>198</v>
      </c>
      <c r="N40" s="33"/>
      <c r="O40" s="30" t="s">
        <v>199</v>
      </c>
      <c r="P40" s="34">
        <f t="shared" ref="P40:P67" si="8">IF($B40="","",COUNTIF($G$8:$G$67,$B40))</f>
        <v>0</v>
      </c>
      <c r="Q40" s="34">
        <f t="shared" ref="Q40:Q67" si="9">IF($B40="","",$P40+SUMIF($G$8:$G$67,$B40,$P$8:$P$67)+SUMIF($G$8:$G$67,$B40,$T$8:$T$67))</f>
        <v>0</v>
      </c>
      <c r="R40" s="35" t="str">
        <f t="shared" ref="R40:R67" si="10">IF($B40="","",IF(COUNTIF($B$8:$B$67,$B40)&gt;1,"Pos-ID doppelt vergeben",IF(AND($G40&lt;&gt;"",COUNTIF($B$8:$B$67,$G40)=0),"Vorgesetzten-ID unbekannt",IF($G40=$B40,"Zirkelbezug: berichtet an sich selbst",IF(AND($G40="",COUNTIF($G$8:$G$67,$B40)=0),"Ohne Zuordnung – bitte prüfen",IF($C40="","Positionsbezeichnung fehlt",IF(AND($M40="Besetzt",$F40=""),"Name fehlt",IF($M40="","Status fehlt","OK"))))))))</f>
        <v>OK</v>
      </c>
      <c r="S40" s="36" t="s">
        <v>200</v>
      </c>
      <c r="T40" s="37">
        <f t="shared" ref="T40:T67" si="11">IF($B40="","",SUMIF($G$8:$G$67,$B40,$P$8:$P$67))</f>
        <v>0</v>
      </c>
    </row>
    <row r="41" spans="2:20" ht="18" customHeight="1" x14ac:dyDescent="0.25">
      <c r="B41" s="38"/>
      <c r="C41" s="28"/>
      <c r="D41" s="28"/>
      <c r="E41" s="28"/>
      <c r="F41" s="29" t="str">
        <f t="shared" si="6"/>
        <v/>
      </c>
      <c r="G41" s="30"/>
      <c r="H41" s="31" t="str">
        <f t="shared" si="7"/>
        <v/>
      </c>
      <c r="I41" s="28"/>
      <c r="J41" s="28"/>
      <c r="K41" s="28"/>
      <c r="L41" s="32"/>
      <c r="M41" s="28"/>
      <c r="N41" s="33"/>
      <c r="O41" s="30"/>
      <c r="P41" s="34" t="str">
        <f t="shared" si="8"/>
        <v/>
      </c>
      <c r="Q41" s="34" t="str">
        <f t="shared" si="9"/>
        <v/>
      </c>
      <c r="R41" s="35" t="str">
        <f t="shared" si="10"/>
        <v/>
      </c>
      <c r="S41" s="39"/>
      <c r="T41" s="37" t="str">
        <f t="shared" si="11"/>
        <v/>
      </c>
    </row>
    <row r="42" spans="2:20" ht="18" customHeight="1" x14ac:dyDescent="0.25">
      <c r="B42" s="38"/>
      <c r="C42" s="28"/>
      <c r="D42" s="28"/>
      <c r="E42" s="28"/>
      <c r="F42" s="29" t="str">
        <f t="shared" si="6"/>
        <v/>
      </c>
      <c r="G42" s="30"/>
      <c r="H42" s="31" t="str">
        <f t="shared" si="7"/>
        <v/>
      </c>
      <c r="I42" s="28"/>
      <c r="J42" s="28"/>
      <c r="K42" s="28"/>
      <c r="L42" s="32"/>
      <c r="M42" s="28"/>
      <c r="N42" s="33"/>
      <c r="O42" s="30"/>
      <c r="P42" s="34" t="str">
        <f t="shared" si="8"/>
        <v/>
      </c>
      <c r="Q42" s="34" t="str">
        <f t="shared" si="9"/>
        <v/>
      </c>
      <c r="R42" s="35" t="str">
        <f t="shared" si="10"/>
        <v/>
      </c>
      <c r="S42" s="39"/>
      <c r="T42" s="37" t="str">
        <f t="shared" si="11"/>
        <v/>
      </c>
    </row>
    <row r="43" spans="2:20" ht="18" customHeight="1" x14ac:dyDescent="0.25">
      <c r="B43" s="38"/>
      <c r="C43" s="28"/>
      <c r="D43" s="28"/>
      <c r="E43" s="28"/>
      <c r="F43" s="29" t="str">
        <f t="shared" si="6"/>
        <v/>
      </c>
      <c r="G43" s="30"/>
      <c r="H43" s="31" t="str">
        <f t="shared" si="7"/>
        <v/>
      </c>
      <c r="I43" s="28"/>
      <c r="J43" s="28"/>
      <c r="K43" s="28"/>
      <c r="L43" s="32"/>
      <c r="M43" s="28"/>
      <c r="N43" s="33"/>
      <c r="O43" s="30"/>
      <c r="P43" s="34" t="str">
        <f t="shared" si="8"/>
        <v/>
      </c>
      <c r="Q43" s="34" t="str">
        <f t="shared" si="9"/>
        <v/>
      </c>
      <c r="R43" s="35" t="str">
        <f t="shared" si="10"/>
        <v/>
      </c>
      <c r="S43" s="39"/>
      <c r="T43" s="37" t="str">
        <f t="shared" si="11"/>
        <v/>
      </c>
    </row>
    <row r="44" spans="2:20" ht="18" customHeight="1" x14ac:dyDescent="0.25">
      <c r="B44" s="38"/>
      <c r="C44" s="28"/>
      <c r="D44" s="28"/>
      <c r="E44" s="28"/>
      <c r="F44" s="29" t="str">
        <f t="shared" si="6"/>
        <v/>
      </c>
      <c r="G44" s="30"/>
      <c r="H44" s="31" t="str">
        <f t="shared" si="7"/>
        <v/>
      </c>
      <c r="I44" s="28"/>
      <c r="J44" s="28"/>
      <c r="K44" s="28"/>
      <c r="L44" s="32"/>
      <c r="M44" s="28"/>
      <c r="N44" s="33"/>
      <c r="O44" s="30"/>
      <c r="P44" s="34" t="str">
        <f t="shared" si="8"/>
        <v/>
      </c>
      <c r="Q44" s="34" t="str">
        <f t="shared" si="9"/>
        <v/>
      </c>
      <c r="R44" s="35" t="str">
        <f t="shared" si="10"/>
        <v/>
      </c>
      <c r="S44" s="39"/>
      <c r="T44" s="37" t="str">
        <f t="shared" si="11"/>
        <v/>
      </c>
    </row>
    <row r="45" spans="2:20" ht="18" customHeight="1" x14ac:dyDescent="0.25">
      <c r="B45" s="38"/>
      <c r="C45" s="28"/>
      <c r="D45" s="28"/>
      <c r="E45" s="28"/>
      <c r="F45" s="29" t="str">
        <f t="shared" si="6"/>
        <v/>
      </c>
      <c r="G45" s="30"/>
      <c r="H45" s="31" t="str">
        <f t="shared" si="7"/>
        <v/>
      </c>
      <c r="I45" s="28"/>
      <c r="J45" s="28"/>
      <c r="K45" s="28"/>
      <c r="L45" s="32"/>
      <c r="M45" s="28"/>
      <c r="N45" s="33"/>
      <c r="O45" s="30"/>
      <c r="P45" s="34" t="str">
        <f t="shared" si="8"/>
        <v/>
      </c>
      <c r="Q45" s="34" t="str">
        <f t="shared" si="9"/>
        <v/>
      </c>
      <c r="R45" s="35" t="str">
        <f t="shared" si="10"/>
        <v/>
      </c>
      <c r="S45" s="39"/>
      <c r="T45" s="37" t="str">
        <f t="shared" si="11"/>
        <v/>
      </c>
    </row>
    <row r="46" spans="2:20" ht="18" customHeight="1" x14ac:dyDescent="0.25">
      <c r="B46" s="38"/>
      <c r="C46" s="28"/>
      <c r="D46" s="28"/>
      <c r="E46" s="28"/>
      <c r="F46" s="29" t="str">
        <f t="shared" si="6"/>
        <v/>
      </c>
      <c r="G46" s="30"/>
      <c r="H46" s="31" t="str">
        <f t="shared" si="7"/>
        <v/>
      </c>
      <c r="I46" s="28"/>
      <c r="J46" s="28"/>
      <c r="K46" s="28"/>
      <c r="L46" s="32"/>
      <c r="M46" s="28"/>
      <c r="N46" s="33"/>
      <c r="O46" s="30"/>
      <c r="P46" s="34" t="str">
        <f t="shared" si="8"/>
        <v/>
      </c>
      <c r="Q46" s="34" t="str">
        <f t="shared" si="9"/>
        <v/>
      </c>
      <c r="R46" s="35" t="str">
        <f t="shared" si="10"/>
        <v/>
      </c>
      <c r="S46" s="39"/>
      <c r="T46" s="37" t="str">
        <f t="shared" si="11"/>
        <v/>
      </c>
    </row>
    <row r="47" spans="2:20" ht="18" customHeight="1" x14ac:dyDescent="0.25">
      <c r="B47" s="38"/>
      <c r="C47" s="28"/>
      <c r="D47" s="28"/>
      <c r="E47" s="28"/>
      <c r="F47" s="29" t="str">
        <f t="shared" si="6"/>
        <v/>
      </c>
      <c r="G47" s="30"/>
      <c r="H47" s="31" t="str">
        <f t="shared" si="7"/>
        <v/>
      </c>
      <c r="I47" s="28"/>
      <c r="J47" s="28"/>
      <c r="K47" s="28"/>
      <c r="L47" s="32"/>
      <c r="M47" s="28"/>
      <c r="N47" s="33"/>
      <c r="O47" s="30"/>
      <c r="P47" s="34" t="str">
        <f t="shared" si="8"/>
        <v/>
      </c>
      <c r="Q47" s="34" t="str">
        <f t="shared" si="9"/>
        <v/>
      </c>
      <c r="R47" s="35" t="str">
        <f t="shared" si="10"/>
        <v/>
      </c>
      <c r="S47" s="39"/>
      <c r="T47" s="37" t="str">
        <f t="shared" si="11"/>
        <v/>
      </c>
    </row>
    <row r="48" spans="2:20" ht="18" customHeight="1" x14ac:dyDescent="0.25">
      <c r="B48" s="38"/>
      <c r="C48" s="28"/>
      <c r="D48" s="28"/>
      <c r="E48" s="28"/>
      <c r="F48" s="29" t="str">
        <f t="shared" si="6"/>
        <v/>
      </c>
      <c r="G48" s="30"/>
      <c r="H48" s="31" t="str">
        <f t="shared" si="7"/>
        <v/>
      </c>
      <c r="I48" s="28"/>
      <c r="J48" s="28"/>
      <c r="K48" s="28"/>
      <c r="L48" s="32"/>
      <c r="M48" s="28"/>
      <c r="N48" s="33"/>
      <c r="O48" s="30"/>
      <c r="P48" s="34" t="str">
        <f t="shared" si="8"/>
        <v/>
      </c>
      <c r="Q48" s="34" t="str">
        <f t="shared" si="9"/>
        <v/>
      </c>
      <c r="R48" s="35" t="str">
        <f t="shared" si="10"/>
        <v/>
      </c>
      <c r="S48" s="39"/>
      <c r="T48" s="37" t="str">
        <f t="shared" si="11"/>
        <v/>
      </c>
    </row>
    <row r="49" spans="2:20" ht="18" customHeight="1" x14ac:dyDescent="0.25">
      <c r="B49" s="38"/>
      <c r="C49" s="28"/>
      <c r="D49" s="28"/>
      <c r="E49" s="28"/>
      <c r="F49" s="29" t="str">
        <f t="shared" si="6"/>
        <v/>
      </c>
      <c r="G49" s="30"/>
      <c r="H49" s="31" t="str">
        <f t="shared" si="7"/>
        <v/>
      </c>
      <c r="I49" s="28"/>
      <c r="J49" s="28"/>
      <c r="K49" s="28"/>
      <c r="L49" s="32"/>
      <c r="M49" s="28"/>
      <c r="N49" s="33"/>
      <c r="O49" s="30"/>
      <c r="P49" s="34" t="str">
        <f t="shared" si="8"/>
        <v/>
      </c>
      <c r="Q49" s="34" t="str">
        <f t="shared" si="9"/>
        <v/>
      </c>
      <c r="R49" s="35" t="str">
        <f t="shared" si="10"/>
        <v/>
      </c>
      <c r="S49" s="39"/>
      <c r="T49" s="37" t="str">
        <f t="shared" si="11"/>
        <v/>
      </c>
    </row>
    <row r="50" spans="2:20" ht="18" customHeight="1" x14ac:dyDescent="0.25">
      <c r="B50" s="38"/>
      <c r="C50" s="28"/>
      <c r="D50" s="28"/>
      <c r="E50" s="28"/>
      <c r="F50" s="29" t="str">
        <f t="shared" si="6"/>
        <v/>
      </c>
      <c r="G50" s="30"/>
      <c r="H50" s="31" t="str">
        <f t="shared" si="7"/>
        <v/>
      </c>
      <c r="I50" s="28"/>
      <c r="J50" s="28"/>
      <c r="K50" s="28"/>
      <c r="L50" s="32"/>
      <c r="M50" s="28"/>
      <c r="N50" s="33"/>
      <c r="O50" s="30"/>
      <c r="P50" s="34" t="str">
        <f t="shared" si="8"/>
        <v/>
      </c>
      <c r="Q50" s="34" t="str">
        <f t="shared" si="9"/>
        <v/>
      </c>
      <c r="R50" s="35" t="str">
        <f t="shared" si="10"/>
        <v/>
      </c>
      <c r="S50" s="39"/>
      <c r="T50" s="37" t="str">
        <f t="shared" si="11"/>
        <v/>
      </c>
    </row>
    <row r="51" spans="2:20" ht="18" customHeight="1" x14ac:dyDescent="0.25">
      <c r="B51" s="38"/>
      <c r="C51" s="28"/>
      <c r="D51" s="28"/>
      <c r="E51" s="28"/>
      <c r="F51" s="29" t="str">
        <f t="shared" si="6"/>
        <v/>
      </c>
      <c r="G51" s="30"/>
      <c r="H51" s="31" t="str">
        <f t="shared" si="7"/>
        <v/>
      </c>
      <c r="I51" s="28"/>
      <c r="J51" s="28"/>
      <c r="K51" s="28"/>
      <c r="L51" s="32"/>
      <c r="M51" s="28"/>
      <c r="N51" s="33"/>
      <c r="O51" s="30"/>
      <c r="P51" s="34" t="str">
        <f t="shared" si="8"/>
        <v/>
      </c>
      <c r="Q51" s="34" t="str">
        <f t="shared" si="9"/>
        <v/>
      </c>
      <c r="R51" s="35" t="str">
        <f t="shared" si="10"/>
        <v/>
      </c>
      <c r="S51" s="39"/>
      <c r="T51" s="37" t="str">
        <f t="shared" si="11"/>
        <v/>
      </c>
    </row>
    <row r="52" spans="2:20" ht="18" customHeight="1" x14ac:dyDescent="0.25">
      <c r="B52" s="38"/>
      <c r="C52" s="28"/>
      <c r="D52" s="28"/>
      <c r="E52" s="28"/>
      <c r="F52" s="29" t="str">
        <f t="shared" si="6"/>
        <v/>
      </c>
      <c r="G52" s="30"/>
      <c r="H52" s="31" t="str">
        <f t="shared" si="7"/>
        <v/>
      </c>
      <c r="I52" s="28"/>
      <c r="J52" s="28"/>
      <c r="K52" s="28"/>
      <c r="L52" s="32"/>
      <c r="M52" s="28"/>
      <c r="N52" s="33"/>
      <c r="O52" s="30"/>
      <c r="P52" s="34" t="str">
        <f t="shared" si="8"/>
        <v/>
      </c>
      <c r="Q52" s="34" t="str">
        <f t="shared" si="9"/>
        <v/>
      </c>
      <c r="R52" s="35" t="str">
        <f t="shared" si="10"/>
        <v/>
      </c>
      <c r="S52" s="39"/>
      <c r="T52" s="37" t="str">
        <f t="shared" si="11"/>
        <v/>
      </c>
    </row>
    <row r="53" spans="2:20" ht="18" customHeight="1" x14ac:dyDescent="0.25">
      <c r="B53" s="38"/>
      <c r="C53" s="28"/>
      <c r="D53" s="28"/>
      <c r="E53" s="28"/>
      <c r="F53" s="29" t="str">
        <f t="shared" si="6"/>
        <v/>
      </c>
      <c r="G53" s="30"/>
      <c r="H53" s="31" t="str">
        <f t="shared" si="7"/>
        <v/>
      </c>
      <c r="I53" s="28"/>
      <c r="J53" s="28"/>
      <c r="K53" s="28"/>
      <c r="L53" s="32"/>
      <c r="M53" s="28"/>
      <c r="N53" s="33"/>
      <c r="O53" s="30"/>
      <c r="P53" s="34" t="str">
        <f t="shared" si="8"/>
        <v/>
      </c>
      <c r="Q53" s="34" t="str">
        <f t="shared" si="9"/>
        <v/>
      </c>
      <c r="R53" s="35" t="str">
        <f t="shared" si="10"/>
        <v/>
      </c>
      <c r="S53" s="39"/>
      <c r="T53" s="37" t="str">
        <f t="shared" si="11"/>
        <v/>
      </c>
    </row>
    <row r="54" spans="2:20" ht="18" customHeight="1" x14ac:dyDescent="0.25">
      <c r="B54" s="38"/>
      <c r="C54" s="28"/>
      <c r="D54" s="28"/>
      <c r="E54" s="28"/>
      <c r="F54" s="29" t="str">
        <f t="shared" si="6"/>
        <v/>
      </c>
      <c r="G54" s="30"/>
      <c r="H54" s="31" t="str">
        <f t="shared" si="7"/>
        <v/>
      </c>
      <c r="I54" s="28"/>
      <c r="J54" s="28"/>
      <c r="K54" s="28"/>
      <c r="L54" s="32"/>
      <c r="M54" s="28"/>
      <c r="N54" s="33"/>
      <c r="O54" s="30"/>
      <c r="P54" s="34" t="str">
        <f t="shared" si="8"/>
        <v/>
      </c>
      <c r="Q54" s="34" t="str">
        <f t="shared" si="9"/>
        <v/>
      </c>
      <c r="R54" s="35" t="str">
        <f t="shared" si="10"/>
        <v/>
      </c>
      <c r="S54" s="39"/>
      <c r="T54" s="37" t="str">
        <f t="shared" si="11"/>
        <v/>
      </c>
    </row>
    <row r="55" spans="2:20" ht="18" customHeight="1" x14ac:dyDescent="0.25">
      <c r="B55" s="38"/>
      <c r="C55" s="28"/>
      <c r="D55" s="28"/>
      <c r="E55" s="28"/>
      <c r="F55" s="29" t="str">
        <f t="shared" si="6"/>
        <v/>
      </c>
      <c r="G55" s="30"/>
      <c r="H55" s="31" t="str">
        <f t="shared" si="7"/>
        <v/>
      </c>
      <c r="I55" s="28"/>
      <c r="J55" s="28"/>
      <c r="K55" s="28"/>
      <c r="L55" s="32"/>
      <c r="M55" s="28"/>
      <c r="N55" s="33"/>
      <c r="O55" s="30"/>
      <c r="P55" s="34" t="str">
        <f t="shared" si="8"/>
        <v/>
      </c>
      <c r="Q55" s="34" t="str">
        <f t="shared" si="9"/>
        <v/>
      </c>
      <c r="R55" s="35" t="str">
        <f t="shared" si="10"/>
        <v/>
      </c>
      <c r="S55" s="39"/>
      <c r="T55" s="37" t="str">
        <f t="shared" si="11"/>
        <v/>
      </c>
    </row>
    <row r="56" spans="2:20" ht="18" customHeight="1" x14ac:dyDescent="0.25">
      <c r="B56" s="38"/>
      <c r="C56" s="28"/>
      <c r="D56" s="28"/>
      <c r="E56" s="28"/>
      <c r="F56" s="29" t="str">
        <f t="shared" si="6"/>
        <v/>
      </c>
      <c r="G56" s="30"/>
      <c r="H56" s="31" t="str">
        <f t="shared" si="7"/>
        <v/>
      </c>
      <c r="I56" s="28"/>
      <c r="J56" s="28"/>
      <c r="K56" s="28"/>
      <c r="L56" s="32"/>
      <c r="M56" s="28"/>
      <c r="N56" s="33"/>
      <c r="O56" s="30"/>
      <c r="P56" s="34" t="str">
        <f t="shared" si="8"/>
        <v/>
      </c>
      <c r="Q56" s="34" t="str">
        <f t="shared" si="9"/>
        <v/>
      </c>
      <c r="R56" s="35" t="str">
        <f t="shared" si="10"/>
        <v/>
      </c>
      <c r="S56" s="39"/>
      <c r="T56" s="37" t="str">
        <f t="shared" si="11"/>
        <v/>
      </c>
    </row>
    <row r="57" spans="2:20" ht="18" customHeight="1" x14ac:dyDescent="0.25">
      <c r="B57" s="38"/>
      <c r="C57" s="28"/>
      <c r="D57" s="28"/>
      <c r="E57" s="28"/>
      <c r="F57" s="29" t="str">
        <f t="shared" si="6"/>
        <v/>
      </c>
      <c r="G57" s="30"/>
      <c r="H57" s="31" t="str">
        <f t="shared" si="7"/>
        <v/>
      </c>
      <c r="I57" s="28"/>
      <c r="J57" s="28"/>
      <c r="K57" s="28"/>
      <c r="L57" s="32"/>
      <c r="M57" s="28"/>
      <c r="N57" s="33"/>
      <c r="O57" s="30"/>
      <c r="P57" s="34" t="str">
        <f t="shared" si="8"/>
        <v/>
      </c>
      <c r="Q57" s="34" t="str">
        <f t="shared" si="9"/>
        <v/>
      </c>
      <c r="R57" s="35" t="str">
        <f t="shared" si="10"/>
        <v/>
      </c>
      <c r="S57" s="39"/>
      <c r="T57" s="37" t="str">
        <f t="shared" si="11"/>
        <v/>
      </c>
    </row>
    <row r="58" spans="2:20" ht="18" customHeight="1" x14ac:dyDescent="0.25">
      <c r="B58" s="38"/>
      <c r="C58" s="28"/>
      <c r="D58" s="28"/>
      <c r="E58" s="28"/>
      <c r="F58" s="29" t="str">
        <f t="shared" si="6"/>
        <v/>
      </c>
      <c r="G58" s="30"/>
      <c r="H58" s="31" t="str">
        <f t="shared" si="7"/>
        <v/>
      </c>
      <c r="I58" s="28"/>
      <c r="J58" s="28"/>
      <c r="K58" s="28"/>
      <c r="L58" s="32"/>
      <c r="M58" s="28"/>
      <c r="N58" s="33"/>
      <c r="O58" s="30"/>
      <c r="P58" s="34" t="str">
        <f t="shared" si="8"/>
        <v/>
      </c>
      <c r="Q58" s="34" t="str">
        <f t="shared" si="9"/>
        <v/>
      </c>
      <c r="R58" s="35" t="str">
        <f t="shared" si="10"/>
        <v/>
      </c>
      <c r="S58" s="39"/>
      <c r="T58" s="37" t="str">
        <f t="shared" si="11"/>
        <v/>
      </c>
    </row>
    <row r="59" spans="2:20" ht="18" customHeight="1" x14ac:dyDescent="0.25">
      <c r="B59" s="38"/>
      <c r="C59" s="28"/>
      <c r="D59" s="28"/>
      <c r="E59" s="28"/>
      <c r="F59" s="29" t="str">
        <f t="shared" si="6"/>
        <v/>
      </c>
      <c r="G59" s="30"/>
      <c r="H59" s="31" t="str">
        <f t="shared" si="7"/>
        <v/>
      </c>
      <c r="I59" s="28"/>
      <c r="J59" s="28"/>
      <c r="K59" s="28"/>
      <c r="L59" s="32"/>
      <c r="M59" s="28"/>
      <c r="N59" s="33"/>
      <c r="O59" s="30"/>
      <c r="P59" s="34" t="str">
        <f t="shared" si="8"/>
        <v/>
      </c>
      <c r="Q59" s="34" t="str">
        <f t="shared" si="9"/>
        <v/>
      </c>
      <c r="R59" s="35" t="str">
        <f t="shared" si="10"/>
        <v/>
      </c>
      <c r="S59" s="39"/>
      <c r="T59" s="37" t="str">
        <f t="shared" si="11"/>
        <v/>
      </c>
    </row>
    <row r="60" spans="2:20" ht="18" customHeight="1" x14ac:dyDescent="0.25">
      <c r="B60" s="38"/>
      <c r="C60" s="28"/>
      <c r="D60" s="28"/>
      <c r="E60" s="28"/>
      <c r="F60" s="29" t="str">
        <f t="shared" si="6"/>
        <v/>
      </c>
      <c r="G60" s="30"/>
      <c r="H60" s="31" t="str">
        <f t="shared" si="7"/>
        <v/>
      </c>
      <c r="I60" s="28"/>
      <c r="J60" s="28"/>
      <c r="K60" s="28"/>
      <c r="L60" s="32"/>
      <c r="M60" s="28"/>
      <c r="N60" s="33"/>
      <c r="O60" s="30"/>
      <c r="P60" s="34" t="str">
        <f t="shared" si="8"/>
        <v/>
      </c>
      <c r="Q60" s="34" t="str">
        <f t="shared" si="9"/>
        <v/>
      </c>
      <c r="R60" s="35" t="str">
        <f t="shared" si="10"/>
        <v/>
      </c>
      <c r="S60" s="39"/>
      <c r="T60" s="37" t="str">
        <f t="shared" si="11"/>
        <v/>
      </c>
    </row>
    <row r="61" spans="2:20" ht="18" customHeight="1" x14ac:dyDescent="0.25">
      <c r="B61" s="38"/>
      <c r="C61" s="28"/>
      <c r="D61" s="28"/>
      <c r="E61" s="28"/>
      <c r="F61" s="29" t="str">
        <f t="shared" si="6"/>
        <v/>
      </c>
      <c r="G61" s="30"/>
      <c r="H61" s="31" t="str">
        <f t="shared" si="7"/>
        <v/>
      </c>
      <c r="I61" s="28"/>
      <c r="J61" s="28"/>
      <c r="K61" s="28"/>
      <c r="L61" s="32"/>
      <c r="M61" s="28"/>
      <c r="N61" s="33"/>
      <c r="O61" s="30"/>
      <c r="P61" s="34" t="str">
        <f t="shared" si="8"/>
        <v/>
      </c>
      <c r="Q61" s="34" t="str">
        <f t="shared" si="9"/>
        <v/>
      </c>
      <c r="R61" s="35" t="str">
        <f t="shared" si="10"/>
        <v/>
      </c>
      <c r="S61" s="39"/>
      <c r="T61" s="37" t="str">
        <f t="shared" si="11"/>
        <v/>
      </c>
    </row>
    <row r="62" spans="2:20" ht="18" customHeight="1" x14ac:dyDescent="0.25">
      <c r="B62" s="38"/>
      <c r="C62" s="28"/>
      <c r="D62" s="28"/>
      <c r="E62" s="28"/>
      <c r="F62" s="29" t="str">
        <f t="shared" si="6"/>
        <v/>
      </c>
      <c r="G62" s="30"/>
      <c r="H62" s="31" t="str">
        <f t="shared" si="7"/>
        <v/>
      </c>
      <c r="I62" s="28"/>
      <c r="J62" s="28"/>
      <c r="K62" s="28"/>
      <c r="L62" s="32"/>
      <c r="M62" s="28"/>
      <c r="N62" s="33"/>
      <c r="O62" s="30"/>
      <c r="P62" s="34" t="str">
        <f t="shared" si="8"/>
        <v/>
      </c>
      <c r="Q62" s="34" t="str">
        <f t="shared" si="9"/>
        <v/>
      </c>
      <c r="R62" s="35" t="str">
        <f t="shared" si="10"/>
        <v/>
      </c>
      <c r="S62" s="39"/>
      <c r="T62" s="37" t="str">
        <f t="shared" si="11"/>
        <v/>
      </c>
    </row>
    <row r="63" spans="2:20" ht="18" customHeight="1" x14ac:dyDescent="0.25">
      <c r="B63" s="38"/>
      <c r="C63" s="28"/>
      <c r="D63" s="28"/>
      <c r="E63" s="28"/>
      <c r="F63" s="29" t="str">
        <f t="shared" si="6"/>
        <v/>
      </c>
      <c r="G63" s="30"/>
      <c r="H63" s="31" t="str">
        <f t="shared" si="7"/>
        <v/>
      </c>
      <c r="I63" s="28"/>
      <c r="J63" s="28"/>
      <c r="K63" s="28"/>
      <c r="L63" s="32"/>
      <c r="M63" s="28"/>
      <c r="N63" s="33"/>
      <c r="O63" s="30"/>
      <c r="P63" s="34" t="str">
        <f t="shared" si="8"/>
        <v/>
      </c>
      <c r="Q63" s="34" t="str">
        <f t="shared" si="9"/>
        <v/>
      </c>
      <c r="R63" s="35" t="str">
        <f t="shared" si="10"/>
        <v/>
      </c>
      <c r="S63" s="39"/>
      <c r="T63" s="37" t="str">
        <f t="shared" si="11"/>
        <v/>
      </c>
    </row>
    <row r="64" spans="2:20" ht="18" customHeight="1" x14ac:dyDescent="0.25">
      <c r="B64" s="38"/>
      <c r="C64" s="28"/>
      <c r="D64" s="28"/>
      <c r="E64" s="28"/>
      <c r="F64" s="29" t="str">
        <f t="shared" si="6"/>
        <v/>
      </c>
      <c r="G64" s="30"/>
      <c r="H64" s="31" t="str">
        <f t="shared" si="7"/>
        <v/>
      </c>
      <c r="I64" s="28"/>
      <c r="J64" s="28"/>
      <c r="K64" s="28"/>
      <c r="L64" s="32"/>
      <c r="M64" s="28"/>
      <c r="N64" s="33"/>
      <c r="O64" s="30"/>
      <c r="P64" s="34" t="str">
        <f t="shared" si="8"/>
        <v/>
      </c>
      <c r="Q64" s="34" t="str">
        <f t="shared" si="9"/>
        <v/>
      </c>
      <c r="R64" s="35" t="str">
        <f t="shared" si="10"/>
        <v/>
      </c>
      <c r="S64" s="39"/>
      <c r="T64" s="37" t="str">
        <f t="shared" si="11"/>
        <v/>
      </c>
    </row>
    <row r="65" spans="2:20" ht="18" customHeight="1" x14ac:dyDescent="0.25">
      <c r="B65" s="38"/>
      <c r="C65" s="28"/>
      <c r="D65" s="28"/>
      <c r="E65" s="28"/>
      <c r="F65" s="29" t="str">
        <f t="shared" si="6"/>
        <v/>
      </c>
      <c r="G65" s="30"/>
      <c r="H65" s="31" t="str">
        <f t="shared" si="7"/>
        <v/>
      </c>
      <c r="I65" s="28"/>
      <c r="J65" s="28"/>
      <c r="K65" s="28"/>
      <c r="L65" s="32"/>
      <c r="M65" s="28"/>
      <c r="N65" s="33"/>
      <c r="O65" s="30"/>
      <c r="P65" s="34" t="str">
        <f t="shared" si="8"/>
        <v/>
      </c>
      <c r="Q65" s="34" t="str">
        <f t="shared" si="9"/>
        <v/>
      </c>
      <c r="R65" s="35" t="str">
        <f t="shared" si="10"/>
        <v/>
      </c>
      <c r="S65" s="39"/>
      <c r="T65" s="37" t="str">
        <f t="shared" si="11"/>
        <v/>
      </c>
    </row>
    <row r="66" spans="2:20" ht="18" customHeight="1" x14ac:dyDescent="0.25">
      <c r="B66" s="38"/>
      <c r="C66" s="28"/>
      <c r="D66" s="28"/>
      <c r="E66" s="28"/>
      <c r="F66" s="29" t="str">
        <f t="shared" si="6"/>
        <v/>
      </c>
      <c r="G66" s="30"/>
      <c r="H66" s="31" t="str">
        <f t="shared" si="7"/>
        <v/>
      </c>
      <c r="I66" s="28"/>
      <c r="J66" s="28"/>
      <c r="K66" s="28"/>
      <c r="L66" s="32"/>
      <c r="M66" s="28"/>
      <c r="N66" s="33"/>
      <c r="O66" s="30"/>
      <c r="P66" s="34" t="str">
        <f t="shared" si="8"/>
        <v/>
      </c>
      <c r="Q66" s="34" t="str">
        <f t="shared" si="9"/>
        <v/>
      </c>
      <c r="R66" s="35" t="str">
        <f t="shared" si="10"/>
        <v/>
      </c>
      <c r="S66" s="39"/>
      <c r="T66" s="37" t="str">
        <f t="shared" si="11"/>
        <v/>
      </c>
    </row>
    <row r="67" spans="2:20" ht="18" customHeight="1" x14ac:dyDescent="0.25">
      <c r="B67" s="40"/>
      <c r="C67" s="41"/>
      <c r="D67" s="41"/>
      <c r="E67" s="41"/>
      <c r="F67" s="42" t="str">
        <f t="shared" si="6"/>
        <v/>
      </c>
      <c r="G67" s="43"/>
      <c r="H67" s="44" t="str">
        <f t="shared" si="7"/>
        <v/>
      </c>
      <c r="I67" s="41"/>
      <c r="J67" s="41"/>
      <c r="K67" s="41"/>
      <c r="L67" s="45"/>
      <c r="M67" s="41"/>
      <c r="N67" s="46"/>
      <c r="O67" s="43"/>
      <c r="P67" s="47" t="str">
        <f t="shared" si="8"/>
        <v/>
      </c>
      <c r="Q67" s="47" t="str">
        <f t="shared" si="9"/>
        <v/>
      </c>
      <c r="R67" s="48" t="str">
        <f t="shared" si="10"/>
        <v/>
      </c>
      <c r="S67" s="49"/>
      <c r="T67" s="37" t="str">
        <f t="shared" si="11"/>
        <v/>
      </c>
    </row>
    <row r="69" spans="2:20" x14ac:dyDescent="0.25">
      <c r="B69" s="68" t="s">
        <v>201</v>
      </c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</row>
  </sheetData>
  <autoFilter ref="B7:S67" xr:uid="{00000000-0009-0000-0000-000001000000}"/>
  <mergeCells count="6">
    <mergeCell ref="B69:S69"/>
    <mergeCell ref="B2:K2"/>
    <mergeCell ref="L2:S2"/>
    <mergeCell ref="B3:S3"/>
    <mergeCell ref="B5:S5"/>
    <mergeCell ref="B6:S6"/>
  </mergeCells>
  <conditionalFormatting sqref="B8:S67">
    <cfRule type="expression" dxfId="11" priority="12">
      <formula>MOD(ROW(),2)=0</formula>
    </cfRule>
  </conditionalFormatting>
  <conditionalFormatting sqref="H8:H67">
    <cfRule type="cellIs" dxfId="10" priority="7" operator="equal">
      <formula>1</formula>
    </cfRule>
    <cfRule type="cellIs" dxfId="9" priority="8" operator="equal">
      <formula>2</formula>
    </cfRule>
    <cfRule type="cellIs" dxfId="8" priority="9" operator="equal">
      <formula>3</formula>
    </cfRule>
    <cfRule type="cellIs" dxfId="7" priority="10" operator="equal">
      <formula>4</formula>
    </cfRule>
  </conditionalFormatting>
  <conditionalFormatting sqref="M8:M67">
    <cfRule type="cellIs" dxfId="6" priority="2" operator="equal">
      <formula>"Vakant"</formula>
    </cfRule>
    <cfRule type="cellIs" dxfId="5" priority="3" operator="equal">
      <formula>"In Besetzung"</formula>
    </cfRule>
    <cfRule type="cellIs" dxfId="4" priority="4" operator="equal">
      <formula>"Elternzeit / Vertretung"</formula>
    </cfRule>
  </conditionalFormatting>
  <conditionalFormatting sqref="P8:P67">
    <cfRule type="cellIs" dxfId="3" priority="11" operator="greaterThan">
      <formula>8</formula>
    </cfRule>
  </conditionalFormatting>
  <conditionalFormatting sqref="R8:R67">
    <cfRule type="expression" dxfId="2" priority="5">
      <formula>AND($R8&lt;&gt;"",$R8&lt;&gt;"OK")</formula>
    </cfRule>
    <cfRule type="expression" dxfId="1" priority="6">
      <formula>$R8="OK"</formula>
    </cfRule>
  </conditionalFormatting>
  <dataValidations count="7">
    <dataValidation type="list" allowBlank="1" errorTitle="Unbekannte Pos-ID" error="Bitte eine in Spalte B vorhandene Pos-ID auswählen." promptTitle="Berichtet an" prompt="Pos-ID der direkten Führungskraft auswählen. Leer lassen = oberste Ebene." sqref="G8:G67" xr:uid="{00000000-0002-0000-0100-000000000000}">
      <formula1>Pos_IDs</formula1>
      <formula2>0</formula2>
    </dataValidation>
    <dataValidation type="list" allowBlank="1" sqref="I8:I67" xr:uid="{00000000-0002-0000-0100-000001000000}">
      <formula1>Liste_Abteilung</formula1>
      <formula2>0</formula2>
    </dataValidation>
    <dataValidation type="list" allowBlank="1" sqref="J8:J67" xr:uid="{00000000-0002-0000-0100-000002000000}">
      <formula1>Liste_Standort</formula1>
      <formula2>0</formula2>
    </dataValidation>
    <dataValidation type="list" allowBlank="1" sqref="K8:K67" xr:uid="{00000000-0002-0000-0100-000003000000}">
      <formula1>Liste_Beschaeftigung</formula1>
      <formula2>0</formula2>
    </dataValidation>
    <dataValidation type="list" allowBlank="1" sqref="M8:M67" xr:uid="{00000000-0002-0000-0100-000004000000}">
      <formula1>Liste_Status</formula1>
      <formula2>0</formula2>
    </dataValidation>
    <dataValidation type="decimal" allowBlank="1" errorTitle="FTE prüfen" error="Bitte einen Wert zwischen 0,0 und 1,0 eingeben (1,0 = Vollzeit)." promptTitle="Vollzeitäquivalent" prompt="1,0 = Vollzeit · 0,5 = halbe Stelle" sqref="L8:L67" xr:uid="{00000000-0002-0000-0100-000005000000}">
      <formula1>0</formula1>
      <formula2>1</formula2>
    </dataValidation>
    <dataValidation type="textLength" operator="lessThanOrEqual" allowBlank="1" promptTitle="Pos-ID" prompt="Eindeutige Kennung der Stelle, z. B. P-210. Sie verbindet Datenblatt und Organigramm." sqref="B8:B67" xr:uid="{00000000-0002-0000-0100-000006000000}">
      <formula1>20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8621B"/>
    <pageSetUpPr fitToPage="1"/>
  </sheetPr>
  <dimension ref="B1:M47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4" customWidth="1"/>
    <col min="3" max="13" width="11.42578125" customWidth="1"/>
  </cols>
  <sheetData>
    <row r="1" spans="2:13" ht="7.5" customHeight="1" x14ac:dyDescent="0.25"/>
    <row r="2" spans="2:13" ht="33.75" customHeight="1" x14ac:dyDescent="0.25">
      <c r="B2" s="64" t="s">
        <v>202</v>
      </c>
      <c r="C2" s="64"/>
      <c r="D2" s="64"/>
      <c r="E2" s="64"/>
      <c r="F2" s="64"/>
      <c r="G2" s="64"/>
      <c r="H2" s="64"/>
      <c r="I2" s="64"/>
      <c r="J2" s="65" t="s">
        <v>203</v>
      </c>
      <c r="K2" s="65"/>
      <c r="L2" s="65"/>
      <c r="M2" s="65"/>
    </row>
    <row r="3" spans="2:13" ht="18" customHeight="1" x14ac:dyDescent="0.25">
      <c r="B3" s="12" t="s">
        <v>204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13" ht="9.75" customHeight="1" x14ac:dyDescent="0.25"/>
    <row r="5" spans="2:13" ht="15.75" customHeight="1" x14ac:dyDescent="0.25">
      <c r="B5" s="69" t="s">
        <v>205</v>
      </c>
      <c r="C5" s="69"/>
      <c r="D5" s="69" t="s">
        <v>206</v>
      </c>
      <c r="E5" s="69"/>
      <c r="F5" s="69"/>
      <c r="G5" s="69" t="s">
        <v>207</v>
      </c>
      <c r="H5" s="69"/>
      <c r="I5" s="69"/>
      <c r="J5" s="69" t="s">
        <v>208</v>
      </c>
      <c r="K5" s="69"/>
      <c r="L5" s="69"/>
    </row>
    <row r="6" spans="2:13" ht="30" customHeight="1" x14ac:dyDescent="0.25">
      <c r="B6" s="70">
        <f>COUNTA(Mitarbeiterdaten!$B$8:$B$67)</f>
        <v>33</v>
      </c>
      <c r="C6" s="70"/>
      <c r="D6" s="70">
        <f>COUNTIF(Mitarbeiterdaten!$M$8:$M$67,"Besetzt")</f>
        <v>30</v>
      </c>
      <c r="E6" s="70"/>
      <c r="F6" s="70"/>
      <c r="G6" s="70">
        <f>COUNTIF(Mitarbeiterdaten!$M$8:$M$67,"Vakant")+COUNTIF(Mitarbeiterdaten!$M$8:$M$67,"In Besetzung")</f>
        <v>2</v>
      </c>
      <c r="H6" s="70"/>
      <c r="I6" s="70"/>
      <c r="J6" s="71">
        <f>IFERROR((COUNTIF(Mitarbeiterdaten!$M$8:$M$67,"Vakant")+COUNTIF(Mitarbeiterdaten!$M$8:$M$67,"In Besetzung"))/COUNTA(Mitarbeiterdaten!$B$8:$B$67),0)</f>
        <v>6.0606060606060608E-2</v>
      </c>
      <c r="K6" s="71"/>
      <c r="L6" s="71"/>
    </row>
    <row r="7" spans="2:13" ht="15" customHeight="1" x14ac:dyDescent="0.25">
      <c r="B7" s="72" t="s">
        <v>209</v>
      </c>
      <c r="C7" s="72"/>
      <c r="D7" s="72" t="s">
        <v>210</v>
      </c>
      <c r="E7" s="72"/>
      <c r="F7" s="72"/>
      <c r="G7" s="72" t="s">
        <v>211</v>
      </c>
      <c r="H7" s="72"/>
      <c r="I7" s="72"/>
      <c r="J7" s="72" t="s">
        <v>212</v>
      </c>
      <c r="K7" s="72"/>
      <c r="L7" s="72"/>
    </row>
    <row r="8" spans="2:13" ht="7.5" customHeight="1" x14ac:dyDescent="0.25"/>
    <row r="10" spans="2:13" ht="15.75" customHeight="1" x14ac:dyDescent="0.25">
      <c r="B10" s="69" t="s">
        <v>213</v>
      </c>
      <c r="C10" s="69"/>
      <c r="D10" s="69" t="s">
        <v>214</v>
      </c>
      <c r="E10" s="69"/>
      <c r="F10" s="69"/>
      <c r="G10" s="69" t="s">
        <v>215</v>
      </c>
      <c r="H10" s="69"/>
      <c r="I10" s="69"/>
      <c r="J10" s="69" t="s">
        <v>216</v>
      </c>
      <c r="K10" s="69"/>
      <c r="L10" s="69"/>
    </row>
    <row r="11" spans="2:13" ht="30" customHeight="1" x14ac:dyDescent="0.25">
      <c r="B11" s="73">
        <f>SUM(Mitarbeiterdaten!$L$8:$L$67)</f>
        <v>30.800000000000004</v>
      </c>
      <c r="C11" s="73"/>
      <c r="D11" s="73">
        <f>SUMIF(Mitarbeiterdaten!$M$8:$M$67,"Besetzt",Mitarbeiterdaten!$L$8:$L$67)</f>
        <v>28.000000000000004</v>
      </c>
      <c r="E11" s="73"/>
      <c r="F11" s="73"/>
      <c r="G11" s="70">
        <f>COUNTIF(Mitarbeiterdaten!$P$8:$P$67,"&gt;0")</f>
        <v>16</v>
      </c>
      <c r="H11" s="70"/>
      <c r="I11" s="70"/>
      <c r="J11" s="73">
        <f>IFERROR(AVERAGEIF(Mitarbeiterdaten!$P$8:$P$67,"&gt;0",Mitarbeiterdaten!$P$8:$P$67),0)</f>
        <v>2</v>
      </c>
      <c r="K11" s="73"/>
      <c r="L11" s="73"/>
    </row>
    <row r="12" spans="2:13" ht="15" customHeight="1" x14ac:dyDescent="0.25">
      <c r="B12" s="72" t="s">
        <v>217</v>
      </c>
      <c r="C12" s="72"/>
      <c r="D12" s="72" t="s">
        <v>218</v>
      </c>
      <c r="E12" s="72"/>
      <c r="F12" s="72"/>
      <c r="G12" s="72" t="s">
        <v>219</v>
      </c>
      <c r="H12" s="72"/>
      <c r="I12" s="72"/>
      <c r="J12" s="72" t="s">
        <v>220</v>
      </c>
      <c r="K12" s="72"/>
      <c r="L12" s="72"/>
    </row>
    <row r="13" spans="2:13" ht="7.5" customHeight="1" x14ac:dyDescent="0.25"/>
    <row r="15" spans="2:13" ht="24" customHeight="1" x14ac:dyDescent="0.25">
      <c r="B15" s="74" t="s">
        <v>221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13" ht="25.5" customHeight="1" x14ac:dyDescent="0.25">
      <c r="B16" s="50" t="s">
        <v>41</v>
      </c>
      <c r="C16" s="50" t="s">
        <v>222</v>
      </c>
      <c r="D16" s="50" t="s">
        <v>57</v>
      </c>
      <c r="E16" s="50" t="s">
        <v>223</v>
      </c>
      <c r="F16" s="50" t="s">
        <v>44</v>
      </c>
      <c r="G16" s="50" t="s">
        <v>224</v>
      </c>
    </row>
    <row r="17" spans="2:13" ht="18" customHeight="1" x14ac:dyDescent="0.25">
      <c r="B17" s="51" t="str">
        <f t="shared" ref="B17:B24" ca="1" si="0">IFERROR(INDEX(Liste_Abteilung,ROW()-16),"")</f>
        <v>Geschäftsführung</v>
      </c>
      <c r="C17" s="30">
        <f ca="1">IF($B17="","",COUNTIF(Mitarbeiterdaten!$I$8:$I$67,$B17))</f>
        <v>2</v>
      </c>
      <c r="D17" s="30">
        <f ca="1">IF($B17="","",COUNTIFS(Mitarbeiterdaten!$I$8:$I$67,$B17,Mitarbeiterdaten!$M$8:$M$67,"Besetzt"))</f>
        <v>2</v>
      </c>
      <c r="E17" s="30">
        <f ca="1">IF($B17="","",COUNTIFS(Mitarbeiterdaten!$I$8:$I$67,$B17,Mitarbeiterdaten!$M$8:$M$67,"Vakant")+COUNTIFS(Mitarbeiterdaten!$I$8:$I$67,$B17,Mitarbeiterdaten!$M$8:$M$67,"In Besetzung"))</f>
        <v>0</v>
      </c>
      <c r="F17" s="32">
        <f ca="1">IF($B17="","",SUMIF(Mitarbeiterdaten!$I$8:$I$67,$B17,Mitarbeiterdaten!$L$8:$L$67))</f>
        <v>1.6</v>
      </c>
      <c r="G17" s="52">
        <f t="shared" ref="G17:G24" ca="1" si="1">IF(OR($B17="",$C$25=0),"",$C17/$C$25)</f>
        <v>6.0606060606060608E-2</v>
      </c>
    </row>
    <row r="18" spans="2:13" ht="18" customHeight="1" x14ac:dyDescent="0.25">
      <c r="B18" s="51" t="str">
        <f t="shared" ca="1" si="0"/>
        <v>Vertrieb &amp; Marketing</v>
      </c>
      <c r="C18" s="30">
        <f ca="1">IF($B18="","",COUNTIF(Mitarbeiterdaten!$I$8:$I$67,$B18))</f>
        <v>9</v>
      </c>
      <c r="D18" s="30">
        <f ca="1">IF($B18="","",COUNTIFS(Mitarbeiterdaten!$I$8:$I$67,$B18,Mitarbeiterdaten!$M$8:$M$67,"Besetzt"))</f>
        <v>8</v>
      </c>
      <c r="E18" s="30">
        <f ca="1">IF($B18="","",COUNTIFS(Mitarbeiterdaten!$I$8:$I$67,$B18,Mitarbeiterdaten!$M$8:$M$67,"Vakant")+COUNTIFS(Mitarbeiterdaten!$I$8:$I$67,$B18,Mitarbeiterdaten!$M$8:$M$67,"In Besetzung"))</f>
        <v>1</v>
      </c>
      <c r="F18" s="32">
        <f ca="1">IF($B18="","",SUMIF(Mitarbeiterdaten!$I$8:$I$67,$B18,Mitarbeiterdaten!$L$8:$L$67))</f>
        <v>8.6</v>
      </c>
      <c r="G18" s="52">
        <f t="shared" ca="1" si="1"/>
        <v>0.27272727272727271</v>
      </c>
    </row>
    <row r="19" spans="2:13" ht="18" customHeight="1" x14ac:dyDescent="0.25">
      <c r="B19" s="51" t="str">
        <f t="shared" ca="1" si="0"/>
        <v>Technik &amp; Betrieb</v>
      </c>
      <c r="C19" s="30">
        <f ca="1">IF($B19="","",COUNTIF(Mitarbeiterdaten!$I$8:$I$67,$B19))</f>
        <v>9</v>
      </c>
      <c r="D19" s="30">
        <f ca="1">IF($B19="","",COUNTIFS(Mitarbeiterdaten!$I$8:$I$67,$B19,Mitarbeiterdaten!$M$8:$M$67,"Besetzt"))</f>
        <v>8</v>
      </c>
      <c r="E19" s="30">
        <f ca="1">IF($B19="","",COUNTIFS(Mitarbeiterdaten!$I$8:$I$67,$B19,Mitarbeiterdaten!$M$8:$M$67,"Vakant")+COUNTIFS(Mitarbeiterdaten!$I$8:$I$67,$B19,Mitarbeiterdaten!$M$8:$M$67,"In Besetzung"))</f>
        <v>0</v>
      </c>
      <c r="F19" s="32">
        <f ca="1">IF($B19="","",SUMIF(Mitarbeiterdaten!$I$8:$I$67,$B19,Mitarbeiterdaten!$L$8:$L$67))</f>
        <v>8.4</v>
      </c>
      <c r="G19" s="52">
        <f t="shared" ca="1" si="1"/>
        <v>0.27272727272727271</v>
      </c>
    </row>
    <row r="20" spans="2:13" ht="18" customHeight="1" x14ac:dyDescent="0.25">
      <c r="B20" s="51" t="str">
        <f t="shared" ca="1" si="0"/>
        <v>Finanzen &amp; Verwaltung</v>
      </c>
      <c r="C20" s="30">
        <f ca="1">IF($B20="","",COUNTIF(Mitarbeiterdaten!$I$8:$I$67,$B20))</f>
        <v>7</v>
      </c>
      <c r="D20" s="30">
        <f ca="1">IF($B20="","",COUNTIFS(Mitarbeiterdaten!$I$8:$I$67,$B20,Mitarbeiterdaten!$M$8:$M$67,"Besetzt"))</f>
        <v>7</v>
      </c>
      <c r="E20" s="30">
        <f ca="1">IF($B20="","",COUNTIFS(Mitarbeiterdaten!$I$8:$I$67,$B20,Mitarbeiterdaten!$M$8:$M$67,"Vakant")+COUNTIFS(Mitarbeiterdaten!$I$8:$I$67,$B20,Mitarbeiterdaten!$M$8:$M$67,"In Besetzung"))</f>
        <v>0</v>
      </c>
      <c r="F20" s="32">
        <f ca="1">IF($B20="","",SUMIF(Mitarbeiterdaten!$I$8:$I$67,$B20,Mitarbeiterdaten!$L$8:$L$67))</f>
        <v>6.8</v>
      </c>
      <c r="G20" s="52">
        <f t="shared" ca="1" si="1"/>
        <v>0.21212121212121213</v>
      </c>
    </row>
    <row r="21" spans="2:13" ht="18" customHeight="1" x14ac:dyDescent="0.25">
      <c r="B21" s="51" t="str">
        <f t="shared" ca="1" si="0"/>
        <v>Personal</v>
      </c>
      <c r="C21" s="30">
        <f ca="1">IF($B21="","",COUNTIF(Mitarbeiterdaten!$I$8:$I$67,$B21))</f>
        <v>6</v>
      </c>
      <c r="D21" s="30">
        <f ca="1">IF($B21="","",COUNTIFS(Mitarbeiterdaten!$I$8:$I$67,$B21,Mitarbeiterdaten!$M$8:$M$67,"Besetzt"))</f>
        <v>5</v>
      </c>
      <c r="E21" s="30">
        <f ca="1">IF($B21="","",COUNTIFS(Mitarbeiterdaten!$I$8:$I$67,$B21,Mitarbeiterdaten!$M$8:$M$67,"Vakant")+COUNTIFS(Mitarbeiterdaten!$I$8:$I$67,$B21,Mitarbeiterdaten!$M$8:$M$67,"In Besetzung"))</f>
        <v>1</v>
      </c>
      <c r="F21" s="32">
        <f ca="1">IF($B21="","",SUMIF(Mitarbeiterdaten!$I$8:$I$67,$B21,Mitarbeiterdaten!$L$8:$L$67))</f>
        <v>5.3999999999999995</v>
      </c>
      <c r="G21" s="52">
        <f t="shared" ca="1" si="1"/>
        <v>0.18181818181818182</v>
      </c>
    </row>
    <row r="22" spans="2:13" ht="18" customHeight="1" x14ac:dyDescent="0.25">
      <c r="B22" s="51" t="str">
        <f t="shared" ca="1" si="0"/>
        <v/>
      </c>
      <c r="C22" s="30" t="str">
        <f ca="1">IF($B22="","",COUNTIF(Mitarbeiterdaten!$I$8:$I$67,$B22))</f>
        <v/>
      </c>
      <c r="D22" s="30" t="str">
        <f ca="1">IF($B22="","",COUNTIFS(Mitarbeiterdaten!$I$8:$I$67,$B22,Mitarbeiterdaten!$M$8:$M$67,"Besetzt"))</f>
        <v/>
      </c>
      <c r="E22" s="30" t="str">
        <f ca="1">IF($B22="","",COUNTIFS(Mitarbeiterdaten!$I$8:$I$67,$B22,Mitarbeiterdaten!$M$8:$M$67,"Vakant")+COUNTIFS(Mitarbeiterdaten!$I$8:$I$67,$B22,Mitarbeiterdaten!$M$8:$M$67,"In Besetzung"))</f>
        <v/>
      </c>
      <c r="F22" s="32" t="str">
        <f ca="1">IF($B22="","",SUMIF(Mitarbeiterdaten!$I$8:$I$67,$B22,Mitarbeiterdaten!$L$8:$L$67))</f>
        <v/>
      </c>
      <c r="G22" s="52" t="str">
        <f t="shared" ca="1" si="1"/>
        <v/>
      </c>
    </row>
    <row r="23" spans="2:13" ht="18" customHeight="1" x14ac:dyDescent="0.25">
      <c r="B23" s="51" t="str">
        <f t="shared" ca="1" si="0"/>
        <v/>
      </c>
      <c r="C23" s="30" t="str">
        <f ca="1">IF($B23="","",COUNTIF(Mitarbeiterdaten!$I$8:$I$67,$B23))</f>
        <v/>
      </c>
      <c r="D23" s="30" t="str">
        <f ca="1">IF($B23="","",COUNTIFS(Mitarbeiterdaten!$I$8:$I$67,$B23,Mitarbeiterdaten!$M$8:$M$67,"Besetzt"))</f>
        <v/>
      </c>
      <c r="E23" s="30" t="str">
        <f ca="1">IF($B23="","",COUNTIFS(Mitarbeiterdaten!$I$8:$I$67,$B23,Mitarbeiterdaten!$M$8:$M$67,"Vakant")+COUNTIFS(Mitarbeiterdaten!$I$8:$I$67,$B23,Mitarbeiterdaten!$M$8:$M$67,"In Besetzung"))</f>
        <v/>
      </c>
      <c r="F23" s="32" t="str">
        <f ca="1">IF($B23="","",SUMIF(Mitarbeiterdaten!$I$8:$I$67,$B23,Mitarbeiterdaten!$L$8:$L$67))</f>
        <v/>
      </c>
      <c r="G23" s="52" t="str">
        <f t="shared" ca="1" si="1"/>
        <v/>
      </c>
    </row>
    <row r="24" spans="2:13" ht="18" customHeight="1" x14ac:dyDescent="0.25">
      <c r="B24" s="51" t="str">
        <f t="shared" ca="1" si="0"/>
        <v/>
      </c>
      <c r="C24" s="30" t="str">
        <f ca="1">IF($B24="","",COUNTIF(Mitarbeiterdaten!$I$8:$I$67,$B24))</f>
        <v/>
      </c>
      <c r="D24" s="30" t="str">
        <f ca="1">IF($B24="","",COUNTIFS(Mitarbeiterdaten!$I$8:$I$67,$B24,Mitarbeiterdaten!$M$8:$M$67,"Besetzt"))</f>
        <v/>
      </c>
      <c r="E24" s="30" t="str">
        <f ca="1">IF($B24="","",COUNTIFS(Mitarbeiterdaten!$I$8:$I$67,$B24,Mitarbeiterdaten!$M$8:$M$67,"Vakant")+COUNTIFS(Mitarbeiterdaten!$I$8:$I$67,$B24,Mitarbeiterdaten!$M$8:$M$67,"In Besetzung"))</f>
        <v/>
      </c>
      <c r="F24" s="32" t="str">
        <f ca="1">IF($B24="","",SUMIF(Mitarbeiterdaten!$I$8:$I$67,$B24,Mitarbeiterdaten!$L$8:$L$67))</f>
        <v/>
      </c>
      <c r="G24" s="52" t="str">
        <f t="shared" ca="1" si="1"/>
        <v/>
      </c>
    </row>
    <row r="25" spans="2:13" ht="19.5" customHeight="1" x14ac:dyDescent="0.25">
      <c r="B25" s="53" t="s">
        <v>225</v>
      </c>
      <c r="C25" s="54">
        <f ca="1">SUM(C17:C24)</f>
        <v>33</v>
      </c>
      <c r="D25" s="54">
        <f ca="1">SUM(D17:D24)</f>
        <v>30</v>
      </c>
      <c r="E25" s="54">
        <f ca="1">SUM(E17:E24)</f>
        <v>2</v>
      </c>
      <c r="F25" s="55">
        <f ca="1">SUM(F17:F24)</f>
        <v>30.8</v>
      </c>
      <c r="G25" s="56">
        <f ca="1">IF($C$25=0,"",1)</f>
        <v>1</v>
      </c>
    </row>
    <row r="27" spans="2:13" ht="24" customHeight="1" x14ac:dyDescent="0.25">
      <c r="B27" s="74" t="s">
        <v>226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2:13" ht="25.5" customHeight="1" x14ac:dyDescent="0.25">
      <c r="B28" s="50" t="s">
        <v>42</v>
      </c>
      <c r="C28" s="50" t="s">
        <v>222</v>
      </c>
      <c r="D28" s="50" t="s">
        <v>57</v>
      </c>
      <c r="E28" s="50" t="s">
        <v>44</v>
      </c>
      <c r="F28" s="50" t="s">
        <v>224</v>
      </c>
    </row>
    <row r="29" spans="2:13" ht="18" customHeight="1" x14ac:dyDescent="0.25">
      <c r="B29" s="51" t="str">
        <f t="shared" ref="B29:B35" ca="1" si="2">IFERROR(INDEX(Liste_Standort,ROW()-28),"")</f>
        <v>München</v>
      </c>
      <c r="C29" s="30">
        <f ca="1">IF($B29="","",COUNTIF(Mitarbeiterdaten!$J$8:$J$67,$B29))</f>
        <v>13</v>
      </c>
      <c r="D29" s="30">
        <f ca="1">IF($B29="","",COUNTIFS(Mitarbeiterdaten!$J$8:$J$67,$B29,Mitarbeiterdaten!$M$8:$M$67,"Besetzt"))</f>
        <v>12</v>
      </c>
      <c r="E29" s="32">
        <f ca="1">IF($B29="","",SUMIF(Mitarbeiterdaten!$J$8:$J$67,$B29,Mitarbeiterdaten!$L$8:$L$67))</f>
        <v>12</v>
      </c>
      <c r="F29" s="52">
        <f t="shared" ref="F29:F35" ca="1" si="3">IF(OR($B29="",$C$36=0),"",$C29/$C$36)</f>
        <v>0.39393939393939392</v>
      </c>
    </row>
    <row r="30" spans="2:13" ht="18" customHeight="1" x14ac:dyDescent="0.25">
      <c r="B30" s="51" t="str">
        <f t="shared" ca="1" si="2"/>
        <v>Hamburg</v>
      </c>
      <c r="C30" s="30">
        <f ca="1">IF($B30="","",COUNTIF(Mitarbeiterdaten!$J$8:$J$67,$B30))</f>
        <v>7</v>
      </c>
      <c r="D30" s="30">
        <f ca="1">IF($B30="","",COUNTIFS(Mitarbeiterdaten!$J$8:$J$67,$B30,Mitarbeiterdaten!$M$8:$M$67,"Besetzt"))</f>
        <v>6</v>
      </c>
      <c r="E30" s="32">
        <f ca="1">IF($B30="","",SUMIF(Mitarbeiterdaten!$J$8:$J$67,$B30,Mitarbeiterdaten!$L$8:$L$67))</f>
        <v>6.8</v>
      </c>
      <c r="F30" s="52">
        <f t="shared" ca="1" si="3"/>
        <v>0.21212121212121213</v>
      </c>
    </row>
    <row r="31" spans="2:13" ht="18" customHeight="1" x14ac:dyDescent="0.25">
      <c r="B31" s="51" t="str">
        <f t="shared" ca="1" si="2"/>
        <v>Berlin</v>
      </c>
      <c r="C31" s="30">
        <f ca="1">IF($B31="","",COUNTIF(Mitarbeiterdaten!$J$8:$J$67,$B31))</f>
        <v>7</v>
      </c>
      <c r="D31" s="30">
        <f ca="1">IF($B31="","",COUNTIFS(Mitarbeiterdaten!$J$8:$J$67,$B31,Mitarbeiterdaten!$M$8:$M$67,"Besetzt"))</f>
        <v>6</v>
      </c>
      <c r="E31" s="32">
        <f ca="1">IF($B31="","",SUMIF(Mitarbeiterdaten!$J$8:$J$67,$B31,Mitarbeiterdaten!$L$8:$L$67))</f>
        <v>6.8</v>
      </c>
      <c r="F31" s="52">
        <f t="shared" ca="1" si="3"/>
        <v>0.21212121212121213</v>
      </c>
    </row>
    <row r="32" spans="2:13" ht="18" customHeight="1" x14ac:dyDescent="0.25">
      <c r="B32" s="51" t="str">
        <f t="shared" ca="1" si="2"/>
        <v>Wien</v>
      </c>
      <c r="C32" s="30">
        <f ca="1">IF($B32="","",COUNTIF(Mitarbeiterdaten!$J$8:$J$67,$B32))</f>
        <v>4</v>
      </c>
      <c r="D32" s="30">
        <f ca="1">IF($B32="","",COUNTIFS(Mitarbeiterdaten!$J$8:$J$67,$B32,Mitarbeiterdaten!$M$8:$M$67,"Besetzt"))</f>
        <v>4</v>
      </c>
      <c r="E32" s="32">
        <f ca="1">IF($B32="","",SUMIF(Mitarbeiterdaten!$J$8:$J$67,$B32,Mitarbeiterdaten!$L$8:$L$67))</f>
        <v>3.6</v>
      </c>
      <c r="F32" s="52">
        <f t="shared" ca="1" si="3"/>
        <v>0.12121212121212122</v>
      </c>
    </row>
    <row r="33" spans="2:13" ht="18" customHeight="1" x14ac:dyDescent="0.25">
      <c r="B33" s="51" t="str">
        <f t="shared" ca="1" si="2"/>
        <v>Remote</v>
      </c>
      <c r="C33" s="30">
        <f ca="1">IF($B33="","",COUNTIF(Mitarbeiterdaten!$J$8:$J$67,$B33))</f>
        <v>2</v>
      </c>
      <c r="D33" s="30">
        <f ca="1">IF($B33="","",COUNTIFS(Mitarbeiterdaten!$J$8:$J$67,$B33,Mitarbeiterdaten!$M$8:$M$67,"Besetzt"))</f>
        <v>2</v>
      </c>
      <c r="E33" s="32">
        <f ca="1">IF($B33="","",SUMIF(Mitarbeiterdaten!$J$8:$J$67,$B33,Mitarbeiterdaten!$L$8:$L$67))</f>
        <v>1.6</v>
      </c>
      <c r="F33" s="52">
        <f t="shared" ca="1" si="3"/>
        <v>6.0606060606060608E-2</v>
      </c>
    </row>
    <row r="34" spans="2:13" ht="18" customHeight="1" x14ac:dyDescent="0.25">
      <c r="B34" s="51" t="str">
        <f t="shared" ca="1" si="2"/>
        <v/>
      </c>
      <c r="C34" s="30" t="str">
        <f ca="1">IF($B34="","",COUNTIF(Mitarbeiterdaten!$J$8:$J$67,$B34))</f>
        <v/>
      </c>
      <c r="D34" s="30" t="str">
        <f ca="1">IF($B34="","",COUNTIFS(Mitarbeiterdaten!$J$8:$J$67,$B34,Mitarbeiterdaten!$M$8:$M$67,"Besetzt"))</f>
        <v/>
      </c>
      <c r="E34" s="32" t="str">
        <f ca="1">IF($B34="","",SUMIF(Mitarbeiterdaten!$J$8:$J$67,$B34,Mitarbeiterdaten!$L$8:$L$67))</f>
        <v/>
      </c>
      <c r="F34" s="52" t="str">
        <f t="shared" ca="1" si="3"/>
        <v/>
      </c>
    </row>
    <row r="35" spans="2:13" ht="18" customHeight="1" x14ac:dyDescent="0.25">
      <c r="B35" s="51" t="str">
        <f t="shared" ca="1" si="2"/>
        <v/>
      </c>
      <c r="C35" s="30" t="str">
        <f ca="1">IF($B35="","",COUNTIF(Mitarbeiterdaten!$J$8:$J$67,$B35))</f>
        <v/>
      </c>
      <c r="D35" s="30" t="str">
        <f ca="1">IF($B35="","",COUNTIFS(Mitarbeiterdaten!$J$8:$J$67,$B35,Mitarbeiterdaten!$M$8:$M$67,"Besetzt"))</f>
        <v/>
      </c>
      <c r="E35" s="32" t="str">
        <f ca="1">IF($B35="","",SUMIF(Mitarbeiterdaten!$J$8:$J$67,$B35,Mitarbeiterdaten!$L$8:$L$67))</f>
        <v/>
      </c>
      <c r="F35" s="52" t="str">
        <f t="shared" ca="1" si="3"/>
        <v/>
      </c>
    </row>
    <row r="36" spans="2:13" ht="19.5" customHeight="1" x14ac:dyDescent="0.25">
      <c r="B36" s="53" t="s">
        <v>225</v>
      </c>
      <c r="C36" s="54">
        <f ca="1">SUM(C29:C35)</f>
        <v>33</v>
      </c>
      <c r="D36" s="54">
        <f ca="1">SUM(D29:D35)</f>
        <v>30</v>
      </c>
      <c r="E36" s="55">
        <f ca="1">SUM(E29:E35)</f>
        <v>30.800000000000004</v>
      </c>
      <c r="F36" s="56">
        <f ca="1">IF($C$36=0,"",1)</f>
        <v>1</v>
      </c>
    </row>
    <row r="38" spans="2:13" ht="24" customHeight="1" x14ac:dyDescent="0.25">
      <c r="B38" s="74" t="s">
        <v>227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2:13" ht="25.5" customHeight="1" x14ac:dyDescent="0.25">
      <c r="B39" s="50" t="s">
        <v>40</v>
      </c>
      <c r="C39" s="50" t="s">
        <v>222</v>
      </c>
      <c r="D39" s="50" t="s">
        <v>228</v>
      </c>
      <c r="E39" s="50" t="s">
        <v>229</v>
      </c>
      <c r="F39" s="50" t="s">
        <v>44</v>
      </c>
      <c r="G39" s="50" t="s">
        <v>224</v>
      </c>
    </row>
    <row r="40" spans="2:13" ht="18" customHeight="1" x14ac:dyDescent="0.25">
      <c r="B40" s="51" t="s">
        <v>230</v>
      </c>
      <c r="C40" s="30">
        <f>COUNTIF(Mitarbeiterdaten!$H$8:$H$67,1)</f>
        <v>1</v>
      </c>
      <c r="D40" s="30">
        <f>COUNTIFS(Mitarbeiterdaten!$H$8:$H$67,1,Mitarbeiterdaten!$P$8:$P$67,"&gt;0")</f>
        <v>1</v>
      </c>
      <c r="E40" s="32">
        <f>IFERROR(AVERAGEIFS(Mitarbeiterdaten!$P$8:$P$67,Mitarbeiterdaten!$H$8:$H$67,1,Mitarbeiterdaten!$P$8:$P$67,"&gt;0"),"–")</f>
        <v>5</v>
      </c>
      <c r="F40" s="32">
        <f>SUMIF(Mitarbeiterdaten!$H$8:$H$67,1,Mitarbeiterdaten!$L$8:$L$67)</f>
        <v>1</v>
      </c>
      <c r="G40" s="52">
        <f>IF($C$45=0,"",$C40/$C$45)</f>
        <v>3.0303030303030304E-2</v>
      </c>
    </row>
    <row r="41" spans="2:13" ht="18" customHeight="1" x14ac:dyDescent="0.25">
      <c r="B41" s="51" t="s">
        <v>231</v>
      </c>
      <c r="C41" s="30">
        <f>COUNTIF(Mitarbeiterdaten!$H$8:$H$67,2)</f>
        <v>5</v>
      </c>
      <c r="D41" s="30">
        <f>COUNTIFS(Mitarbeiterdaten!$H$8:$H$67,2,Mitarbeiterdaten!$P$8:$P$67,"&gt;0")</f>
        <v>4</v>
      </c>
      <c r="E41" s="32">
        <f>IFERROR(AVERAGEIFS(Mitarbeiterdaten!$P$8:$P$67,Mitarbeiterdaten!$H$8:$H$67,2,Mitarbeiterdaten!$P$8:$P$67,"&gt;0"),"–")</f>
        <v>3</v>
      </c>
      <c r="F41" s="32">
        <f>SUMIF(Mitarbeiterdaten!$H$8:$H$67,2,Mitarbeiterdaten!$L$8:$L$67)</f>
        <v>4.5999999999999996</v>
      </c>
      <c r="G41" s="52">
        <f>IF($C$45=0,"",$C41/$C$45)</f>
        <v>0.15151515151515152</v>
      </c>
    </row>
    <row r="42" spans="2:13" ht="18" customHeight="1" x14ac:dyDescent="0.25">
      <c r="B42" s="51" t="s">
        <v>232</v>
      </c>
      <c r="C42" s="30">
        <f>COUNTIF(Mitarbeiterdaten!$H$8:$H$67,3)</f>
        <v>12</v>
      </c>
      <c r="D42" s="30">
        <f>COUNTIFS(Mitarbeiterdaten!$H$8:$H$67,3,Mitarbeiterdaten!$P$8:$P$67,"&gt;0")</f>
        <v>11</v>
      </c>
      <c r="E42" s="32">
        <f>IFERROR(AVERAGEIFS(Mitarbeiterdaten!$P$8:$P$67,Mitarbeiterdaten!$H$8:$H$67,3,Mitarbeiterdaten!$P$8:$P$67,"&gt;0"),"–")</f>
        <v>1.3636363636363635</v>
      </c>
      <c r="F42" s="32">
        <f>SUMIF(Mitarbeiterdaten!$H$8:$H$67,3,Mitarbeiterdaten!$L$8:$L$67)</f>
        <v>11.8</v>
      </c>
      <c r="G42" s="52">
        <f>IF($C$45=0,"",$C42/$C$45)</f>
        <v>0.36363636363636365</v>
      </c>
    </row>
    <row r="43" spans="2:13" ht="18" customHeight="1" x14ac:dyDescent="0.25">
      <c r="B43" s="51" t="s">
        <v>233</v>
      </c>
      <c r="C43" s="30">
        <f>COUNTIF(Mitarbeiterdaten!$H$8:$H$67,4)</f>
        <v>15</v>
      </c>
      <c r="D43" s="30">
        <f>COUNTIFS(Mitarbeiterdaten!$H$8:$H$67,4,Mitarbeiterdaten!$P$8:$P$67,"&gt;0")</f>
        <v>0</v>
      </c>
      <c r="E43" s="32" t="str">
        <f>IFERROR(AVERAGEIFS(Mitarbeiterdaten!$P$8:$P$67,Mitarbeiterdaten!$H$8:$H$67,4,Mitarbeiterdaten!$P$8:$P$67,"&gt;0"),"–")</f>
        <v>–</v>
      </c>
      <c r="F43" s="32">
        <f>SUMIF(Mitarbeiterdaten!$H$8:$H$67,4,Mitarbeiterdaten!$L$8:$L$67)</f>
        <v>13.399999999999999</v>
      </c>
      <c r="G43" s="52">
        <f>IF($C$45=0,"",$C43/$C$45)</f>
        <v>0.45454545454545453</v>
      </c>
    </row>
    <row r="44" spans="2:13" ht="18" customHeight="1" x14ac:dyDescent="0.25">
      <c r="B44" s="51" t="s">
        <v>234</v>
      </c>
      <c r="C44" s="30">
        <f>COUNTIF(Mitarbeiterdaten!$H$8:$H$67,5)</f>
        <v>0</v>
      </c>
      <c r="D44" s="30">
        <f>COUNTIFS(Mitarbeiterdaten!$H$8:$H$67,5,Mitarbeiterdaten!$P$8:$P$67,"&gt;0")</f>
        <v>0</v>
      </c>
      <c r="E44" s="32" t="str">
        <f>IFERROR(AVERAGEIFS(Mitarbeiterdaten!$P$8:$P$67,Mitarbeiterdaten!$H$8:$H$67,5,Mitarbeiterdaten!$P$8:$P$67,"&gt;0"),"–")</f>
        <v>–</v>
      </c>
      <c r="F44" s="32">
        <f>SUMIF(Mitarbeiterdaten!$H$8:$H$67,5,Mitarbeiterdaten!$L$8:$L$67)</f>
        <v>0</v>
      </c>
      <c r="G44" s="52">
        <f>IF($C$45=0,"",$C44/$C$45)</f>
        <v>0</v>
      </c>
    </row>
    <row r="45" spans="2:13" ht="19.5" customHeight="1" x14ac:dyDescent="0.25">
      <c r="B45" s="53" t="s">
        <v>225</v>
      </c>
      <c r="C45" s="54">
        <f>SUM(C40:C44)</f>
        <v>33</v>
      </c>
      <c r="D45" s="54">
        <f>SUM(D40:D44)</f>
        <v>16</v>
      </c>
      <c r="E45" s="57"/>
      <c r="F45" s="55">
        <f>SUM(F40:F44)</f>
        <v>30.799999999999997</v>
      </c>
      <c r="G45" s="56">
        <f>IF($C$45=0,"",1)</f>
        <v>1</v>
      </c>
    </row>
    <row r="47" spans="2:13" x14ac:dyDescent="0.25">
      <c r="B47" s="68" t="s">
        <v>235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</row>
  </sheetData>
  <mergeCells count="31">
    <mergeCell ref="B27:M27"/>
    <mergeCell ref="B38:M38"/>
    <mergeCell ref="B47:M47"/>
    <mergeCell ref="B12:C12"/>
    <mergeCell ref="D12:F12"/>
    <mergeCell ref="G12:I12"/>
    <mergeCell ref="J12:L12"/>
    <mergeCell ref="B15:M15"/>
    <mergeCell ref="B10:C10"/>
    <mergeCell ref="D10:F10"/>
    <mergeCell ref="G10:I10"/>
    <mergeCell ref="J10:L10"/>
    <mergeCell ref="B11:C11"/>
    <mergeCell ref="D11:F11"/>
    <mergeCell ref="G11:I11"/>
    <mergeCell ref="J11:L11"/>
    <mergeCell ref="B6:C6"/>
    <mergeCell ref="D6:F6"/>
    <mergeCell ref="G6:I6"/>
    <mergeCell ref="J6:L6"/>
    <mergeCell ref="B7:C7"/>
    <mergeCell ref="D7:F7"/>
    <mergeCell ref="G7:I7"/>
    <mergeCell ref="J7:L7"/>
    <mergeCell ref="B2:I2"/>
    <mergeCell ref="J2:M2"/>
    <mergeCell ref="B3:M3"/>
    <mergeCell ref="B5:C5"/>
    <mergeCell ref="D5:F5"/>
    <mergeCell ref="G5:I5"/>
    <mergeCell ref="J5:L5"/>
  </mergeCells>
  <conditionalFormatting sqref="E17:E24">
    <cfRule type="cellIs" dxfId="0" priority="2" operator="greaterThan">
      <formula>0</formula>
    </cfRule>
  </conditionalFormatting>
  <pageMargins left="0.75" right="0.75" top="1" bottom="1" header="0.511811023622047" footer="0.511811023622047"/>
  <pageSetup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B2CE"/>
  </sheetPr>
  <dimension ref="B1:H42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6" customWidth="1"/>
    <col min="3" max="3" width="2" customWidth="1"/>
    <col min="4" max="4" width="18" customWidth="1"/>
    <col min="5" max="5" width="2" customWidth="1"/>
    <col min="6" max="6" width="20" customWidth="1"/>
    <col min="7" max="7" width="2" customWidth="1"/>
    <col min="8" max="8" width="26" customWidth="1"/>
  </cols>
  <sheetData>
    <row r="1" spans="2:8" ht="7.5" customHeight="1" x14ac:dyDescent="0.25"/>
    <row r="2" spans="2:8" ht="33.75" customHeight="1" x14ac:dyDescent="0.25">
      <c r="B2" s="64" t="s">
        <v>236</v>
      </c>
      <c r="C2" s="64"/>
      <c r="D2" s="64"/>
      <c r="E2" s="64"/>
      <c r="F2" s="64"/>
      <c r="G2" s="65" t="s">
        <v>237</v>
      </c>
      <c r="H2" s="65"/>
    </row>
    <row r="3" spans="2:8" ht="18" customHeight="1" x14ac:dyDescent="0.25">
      <c r="B3" s="12" t="s">
        <v>238</v>
      </c>
      <c r="C3" s="12"/>
      <c r="D3" s="12"/>
      <c r="E3" s="12"/>
      <c r="F3" s="12"/>
      <c r="G3" s="12"/>
      <c r="H3" s="12"/>
    </row>
    <row r="4" spans="2:8" ht="9.75" customHeight="1" x14ac:dyDescent="0.25"/>
    <row r="5" spans="2:8" ht="19.5" customHeight="1" x14ac:dyDescent="0.25">
      <c r="B5" s="67" t="s">
        <v>239</v>
      </c>
      <c r="C5" s="67"/>
      <c r="D5" s="67"/>
      <c r="E5" s="67"/>
      <c r="F5" s="67"/>
      <c r="G5" s="67"/>
      <c r="H5" s="67"/>
    </row>
    <row r="6" spans="2:8" ht="7.5" customHeight="1" x14ac:dyDescent="0.25"/>
    <row r="7" spans="2:8" ht="25.5" customHeight="1" x14ac:dyDescent="0.25">
      <c r="B7" s="58" t="s">
        <v>240</v>
      </c>
      <c r="D7" s="58" t="s">
        <v>42</v>
      </c>
      <c r="F7" s="58" t="s">
        <v>241</v>
      </c>
      <c r="H7" s="58" t="s">
        <v>45</v>
      </c>
    </row>
    <row r="8" spans="2:8" ht="18" customHeight="1" x14ac:dyDescent="0.25">
      <c r="B8" s="59" t="s">
        <v>52</v>
      </c>
      <c r="D8" s="59" t="s">
        <v>55</v>
      </c>
      <c r="F8" s="59" t="s">
        <v>56</v>
      </c>
      <c r="H8" s="59" t="s">
        <v>57</v>
      </c>
    </row>
    <row r="9" spans="2:8" ht="18" customHeight="1" x14ac:dyDescent="0.25">
      <c r="B9" s="59" t="s">
        <v>68</v>
      </c>
      <c r="D9" s="59" t="s">
        <v>85</v>
      </c>
      <c r="F9" s="59" t="s">
        <v>63</v>
      </c>
      <c r="H9" s="59" t="s">
        <v>198</v>
      </c>
    </row>
    <row r="10" spans="2:8" ht="18" customHeight="1" x14ac:dyDescent="0.25">
      <c r="B10" s="59" t="s">
        <v>108</v>
      </c>
      <c r="D10" s="59" t="s">
        <v>166</v>
      </c>
      <c r="F10" s="59" t="s">
        <v>242</v>
      </c>
      <c r="H10" s="59" t="s">
        <v>97</v>
      </c>
    </row>
    <row r="11" spans="2:8" ht="18" customHeight="1" x14ac:dyDescent="0.25">
      <c r="B11" s="59" t="s">
        <v>148</v>
      </c>
      <c r="D11" s="59" t="s">
        <v>122</v>
      </c>
      <c r="F11" s="59" t="s">
        <v>243</v>
      </c>
      <c r="H11" s="59" t="s">
        <v>131</v>
      </c>
    </row>
    <row r="12" spans="2:8" ht="18" customHeight="1" x14ac:dyDescent="0.25">
      <c r="B12" s="59" t="s">
        <v>179</v>
      </c>
      <c r="D12" s="59" t="s">
        <v>175</v>
      </c>
      <c r="F12" s="59" t="s">
        <v>244</v>
      </c>
      <c r="H12" s="59" t="s">
        <v>245</v>
      </c>
    </row>
    <row r="13" spans="2:8" ht="18" customHeight="1" x14ac:dyDescent="0.25">
      <c r="B13" s="60"/>
      <c r="D13" s="60"/>
      <c r="F13" s="59" t="s">
        <v>246</v>
      </c>
      <c r="H13" s="60"/>
    </row>
    <row r="14" spans="2:8" ht="18" customHeight="1" x14ac:dyDescent="0.25">
      <c r="B14" s="60"/>
      <c r="D14" s="60"/>
      <c r="F14" s="60"/>
      <c r="H14" s="60"/>
    </row>
    <row r="15" spans="2:8" ht="18" customHeight="1" x14ac:dyDescent="0.25">
      <c r="B15" s="60"/>
      <c r="D15" s="60"/>
      <c r="F15" s="60"/>
      <c r="H15" s="60"/>
    </row>
    <row r="16" spans="2:8" ht="18" customHeight="1" x14ac:dyDescent="0.25">
      <c r="B16" s="60"/>
      <c r="D16" s="60"/>
      <c r="F16" s="60"/>
      <c r="H16" s="60"/>
    </row>
    <row r="17" spans="2:8" ht="18" customHeight="1" x14ac:dyDescent="0.25">
      <c r="B17" s="60"/>
      <c r="D17" s="60"/>
      <c r="F17" s="60"/>
      <c r="H17" s="60"/>
    </row>
    <row r="18" spans="2:8" ht="18" customHeight="1" x14ac:dyDescent="0.25">
      <c r="B18" s="60"/>
      <c r="D18" s="60"/>
      <c r="F18" s="60"/>
      <c r="H18" s="60"/>
    </row>
    <row r="19" spans="2:8" ht="18" customHeight="1" x14ac:dyDescent="0.25">
      <c r="B19" s="60"/>
      <c r="D19" s="60"/>
      <c r="F19" s="60"/>
      <c r="H19" s="60"/>
    </row>
    <row r="20" spans="2:8" ht="18" customHeight="1" x14ac:dyDescent="0.25">
      <c r="B20" s="60"/>
      <c r="D20" s="60"/>
      <c r="F20" s="60"/>
      <c r="H20" s="60"/>
    </row>
    <row r="21" spans="2:8" ht="18" customHeight="1" x14ac:dyDescent="0.25">
      <c r="B21" s="60"/>
      <c r="D21" s="60"/>
      <c r="F21" s="60"/>
      <c r="H21" s="60"/>
    </row>
    <row r="22" spans="2:8" ht="18" customHeight="1" x14ac:dyDescent="0.25">
      <c r="B22" s="60"/>
      <c r="D22" s="60"/>
      <c r="F22" s="60"/>
      <c r="H22" s="60"/>
    </row>
    <row r="23" spans="2:8" ht="18" customHeight="1" x14ac:dyDescent="0.25">
      <c r="B23" s="60"/>
      <c r="D23" s="60"/>
      <c r="F23" s="60"/>
      <c r="H23" s="60"/>
    </row>
    <row r="24" spans="2:8" ht="18" customHeight="1" x14ac:dyDescent="0.25">
      <c r="B24" s="60"/>
      <c r="D24" s="60"/>
      <c r="F24" s="60"/>
      <c r="H24" s="60"/>
    </row>
    <row r="25" spans="2:8" ht="18" customHeight="1" x14ac:dyDescent="0.25">
      <c r="B25" s="60"/>
      <c r="D25" s="60"/>
      <c r="F25" s="60"/>
      <c r="H25" s="60"/>
    </row>
    <row r="26" spans="2:8" ht="18" customHeight="1" x14ac:dyDescent="0.25">
      <c r="B26" s="60"/>
      <c r="D26" s="60"/>
      <c r="F26" s="60"/>
      <c r="H26" s="60"/>
    </row>
    <row r="27" spans="2:8" ht="18" customHeight="1" x14ac:dyDescent="0.25">
      <c r="B27" s="60"/>
      <c r="D27" s="60"/>
      <c r="F27" s="60"/>
      <c r="H27" s="60"/>
    </row>
    <row r="28" spans="2:8" ht="18" customHeight="1" x14ac:dyDescent="0.25">
      <c r="B28" s="60"/>
      <c r="D28" s="60"/>
      <c r="F28" s="60"/>
      <c r="H28" s="60"/>
    </row>
    <row r="29" spans="2:8" ht="18" customHeight="1" x14ac:dyDescent="0.25">
      <c r="B29" s="60"/>
      <c r="D29" s="60"/>
      <c r="F29" s="60"/>
      <c r="H29" s="60"/>
    </row>
    <row r="30" spans="2:8" ht="18" customHeight="1" x14ac:dyDescent="0.25">
      <c r="B30" s="60"/>
      <c r="D30" s="60"/>
      <c r="F30" s="60"/>
      <c r="H30" s="60"/>
    </row>
    <row r="31" spans="2:8" ht="18" customHeight="1" x14ac:dyDescent="0.25">
      <c r="B31" s="60"/>
      <c r="D31" s="60"/>
      <c r="F31" s="60"/>
      <c r="H31" s="60"/>
    </row>
    <row r="32" spans="2:8" ht="18" customHeight="1" x14ac:dyDescent="0.25">
      <c r="B32" s="60"/>
      <c r="D32" s="60"/>
      <c r="F32" s="60"/>
      <c r="H32" s="60"/>
    </row>
    <row r="33" spans="2:8" ht="18" customHeight="1" x14ac:dyDescent="0.25">
      <c r="B33" s="60"/>
      <c r="D33" s="60"/>
      <c r="F33" s="60"/>
      <c r="H33" s="60"/>
    </row>
    <row r="34" spans="2:8" ht="18" customHeight="1" x14ac:dyDescent="0.25">
      <c r="B34" s="60"/>
      <c r="D34" s="60"/>
      <c r="F34" s="60"/>
      <c r="H34" s="60"/>
    </row>
    <row r="35" spans="2:8" ht="18" customHeight="1" x14ac:dyDescent="0.25">
      <c r="B35" s="60"/>
      <c r="D35" s="60"/>
      <c r="F35" s="60"/>
      <c r="H35" s="60"/>
    </row>
    <row r="36" spans="2:8" ht="18" customHeight="1" x14ac:dyDescent="0.25">
      <c r="B36" s="60"/>
      <c r="D36" s="60"/>
      <c r="F36" s="60"/>
      <c r="H36" s="60"/>
    </row>
    <row r="37" spans="2:8" ht="18" customHeight="1" x14ac:dyDescent="0.25">
      <c r="B37" s="60"/>
      <c r="D37" s="60"/>
      <c r="F37" s="60"/>
      <c r="H37" s="60"/>
    </row>
    <row r="38" spans="2:8" ht="18" customHeight="1" x14ac:dyDescent="0.25">
      <c r="B38" s="60"/>
      <c r="D38" s="60"/>
      <c r="F38" s="60"/>
      <c r="H38" s="60"/>
    </row>
    <row r="39" spans="2:8" ht="18" customHeight="1" x14ac:dyDescent="0.25">
      <c r="B39" s="60"/>
      <c r="D39" s="60"/>
      <c r="F39" s="60"/>
      <c r="H39" s="60"/>
    </row>
    <row r="40" spans="2:8" ht="18" customHeight="1" x14ac:dyDescent="0.25">
      <c r="B40" s="61"/>
      <c r="D40" s="61"/>
      <c r="F40" s="61"/>
      <c r="H40" s="61"/>
    </row>
    <row r="42" spans="2:8" x14ac:dyDescent="0.25">
      <c r="B42" s="68" t="s">
        <v>247</v>
      </c>
      <c r="C42" s="68"/>
      <c r="D42" s="68"/>
      <c r="E42" s="68"/>
      <c r="F42" s="68"/>
      <c r="G42" s="68"/>
      <c r="H42" s="68"/>
    </row>
  </sheetData>
  <mergeCells count="5">
    <mergeCell ref="B2:F2"/>
    <mergeCell ref="G2:H2"/>
    <mergeCell ref="B3:H3"/>
    <mergeCell ref="B5:H5"/>
    <mergeCell ref="B42:H4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Organigramm</vt:lpstr>
      <vt:lpstr>Mitarbeiterdaten</vt:lpstr>
      <vt:lpstr>Kennzahlen</vt:lpstr>
      <vt:lpstr>Listen</vt:lpstr>
      <vt:lpstr>Organigramm!Druckbereich</vt:lpstr>
      <vt:lpstr>Mitarbeiterdaten!Drucktitel</vt:lpstr>
      <vt:lpstr>Stammdaten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Organigramm Vorlage 2026</dc:title>
  <dc:subject/>
  <dc:creator>Vorlage</dc:creator>
  <dc:description>Datengetriebene Organigramm-Vorlage für Excel</dc:description>
  <cp:lastModifiedBy>Sergio Jiménez Canales</cp:lastModifiedBy>
  <cp:revision>1</cp:revision>
  <dcterms:created xsi:type="dcterms:W3CDTF">2026-08-21T08:16:02Z</dcterms:created>
  <dcterms:modified xsi:type="dcterms:W3CDTF">2026-08-21T10:19:42Z</dcterms:modified>
  <dc:language>en-US</dc:language>
</cp:coreProperties>
</file>