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C60B22DE-9105-4743-A346-F8C293C4076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Übersicht" sheetId="1" r:id="rId1"/>
    <sheet name="Projektplan" sheetId="2" r:id="rId2"/>
    <sheet name="Konfiguration" sheetId="3" r:id="rId3"/>
  </sheets>
  <definedNames>
    <definedName name="_xlnm._FilterDatabase" localSheetId="1" hidden="1">Projektplan!$A$6:$L$40</definedName>
    <definedName name="_xlnm.Print_Area" localSheetId="2">Konfiguration!$A$1:$M$29</definedName>
    <definedName name="_xlnm.Print_Area" localSheetId="1">Projektplan!$A$1:$AR$41</definedName>
    <definedName name="_xlnm.Print_Area" localSheetId="0">Übersicht!$A$1:$L$48</definedName>
    <definedName name="_xlnm.Print_Titles" localSheetId="1">Projektplan!$1:$6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1" i="2" l="1"/>
  <c r="J41" i="2"/>
  <c r="I41" i="2"/>
  <c r="H41" i="2"/>
  <c r="F41" i="2"/>
  <c r="G41" i="2" s="1"/>
  <c r="E41" i="2"/>
  <c r="L40" i="2"/>
  <c r="G40" i="2"/>
  <c r="L39" i="2"/>
  <c r="G39" i="2"/>
  <c r="L38" i="2"/>
  <c r="G38" i="2"/>
  <c r="L37" i="2"/>
  <c r="G37" i="2"/>
  <c r="L36" i="2"/>
  <c r="G36" i="2"/>
  <c r="L35" i="2"/>
  <c r="G35" i="2"/>
  <c r="G34" i="2"/>
  <c r="G33" i="2"/>
  <c r="G32" i="2"/>
  <c r="G31" i="2"/>
  <c r="G30" i="2"/>
  <c r="G29" i="2"/>
  <c r="G28" i="2"/>
  <c r="G27" i="2"/>
  <c r="L26" i="2"/>
  <c r="G26" i="2"/>
  <c r="G25" i="2"/>
  <c r="G24" i="2"/>
  <c r="G23" i="2"/>
  <c r="L22" i="2"/>
  <c r="G22" i="2"/>
  <c r="G21" i="2"/>
  <c r="G20" i="2"/>
  <c r="L19" i="2"/>
  <c r="G19" i="2"/>
  <c r="L18" i="2"/>
  <c r="G18" i="2"/>
  <c r="L17" i="2"/>
  <c r="G17" i="2"/>
  <c r="L16" i="2"/>
  <c r="G16" i="2"/>
  <c r="L15" i="2"/>
  <c r="G15" i="2"/>
  <c r="L14" i="2"/>
  <c r="G14" i="2"/>
  <c r="L13" i="2"/>
  <c r="G13" i="2"/>
  <c r="L12" i="2"/>
  <c r="G12" i="2"/>
  <c r="L11" i="2"/>
  <c r="G11" i="2"/>
  <c r="L10" i="2"/>
  <c r="G10" i="2"/>
  <c r="L9" i="2"/>
  <c r="G9" i="2"/>
  <c r="L8" i="2"/>
  <c r="G8" i="2"/>
  <c r="L7" i="2"/>
  <c r="G7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E3" i="2"/>
  <c r="L34" i="2" s="1"/>
  <c r="A2" i="2"/>
  <c r="C31" i="1"/>
  <c r="E30" i="1"/>
  <c r="D30" i="1"/>
  <c r="C30" i="1"/>
  <c r="E29" i="1"/>
  <c r="C29" i="1"/>
  <c r="D29" i="1" s="1"/>
  <c r="E28" i="1"/>
  <c r="E31" i="1" s="1"/>
  <c r="C28" i="1"/>
  <c r="D28" i="1" s="1"/>
  <c r="E27" i="1"/>
  <c r="C27" i="1"/>
  <c r="D27" i="1" s="1"/>
  <c r="D31" i="1" s="1"/>
  <c r="D23" i="1"/>
  <c r="H22" i="1"/>
  <c r="I22" i="1" s="1"/>
  <c r="G22" i="1"/>
  <c r="F22" i="1"/>
  <c r="E22" i="1"/>
  <c r="D22" i="1"/>
  <c r="C22" i="1"/>
  <c r="I21" i="1"/>
  <c r="H21" i="1"/>
  <c r="G21" i="1"/>
  <c r="G23" i="1" s="1"/>
  <c r="F21" i="1"/>
  <c r="E21" i="1"/>
  <c r="D21" i="1"/>
  <c r="C21" i="1"/>
  <c r="H20" i="1"/>
  <c r="I20" i="1" s="1"/>
  <c r="G20" i="1"/>
  <c r="F20" i="1"/>
  <c r="E20" i="1"/>
  <c r="D20" i="1"/>
  <c r="C20" i="1"/>
  <c r="H19" i="1"/>
  <c r="I19" i="1" s="1"/>
  <c r="G19" i="1"/>
  <c r="F19" i="1"/>
  <c r="E19" i="1"/>
  <c r="D19" i="1"/>
  <c r="C19" i="1"/>
  <c r="C23" i="1" s="1"/>
  <c r="H18" i="1"/>
  <c r="I18" i="1" s="1"/>
  <c r="G18" i="1"/>
  <c r="F18" i="1"/>
  <c r="F23" i="1" s="1"/>
  <c r="E18" i="1"/>
  <c r="E23" i="1" s="1"/>
  <c r="D18" i="1"/>
  <c r="C18" i="1"/>
  <c r="C13" i="1"/>
  <c r="C11" i="1"/>
  <c r="K9" i="1" s="1"/>
  <c r="C10" i="1"/>
  <c r="C12" i="1" s="1"/>
  <c r="I9" i="1"/>
  <c r="K7" i="1"/>
  <c r="I7" i="1"/>
  <c r="G7" i="1"/>
  <c r="K5" i="1"/>
  <c r="I5" i="1"/>
  <c r="G5" i="1"/>
  <c r="H23" i="1" l="1"/>
  <c r="I23" i="1" s="1"/>
  <c r="L25" i="2"/>
  <c r="L27" i="2"/>
  <c r="L28" i="2"/>
  <c r="L29" i="2"/>
  <c r="L20" i="2"/>
  <c r="L30" i="2"/>
  <c r="L21" i="2"/>
  <c r="L31" i="2"/>
  <c r="L32" i="2"/>
  <c r="L23" i="2"/>
  <c r="L33" i="2"/>
  <c r="L24" i="2"/>
  <c r="G9" i="1" l="1"/>
  <c r="L41" i="2"/>
  <c r="C14" i="1"/>
</calcChain>
</file>

<file path=xl/sharedStrings.xml><?xml version="1.0" encoding="utf-8"?>
<sst xmlns="http://schemas.openxmlformats.org/spreadsheetml/2006/main" count="304" uniqueCount="190">
  <si>
    <t>PROJEKTPLAN 2026</t>
  </si>
  <si>
    <t>Projektübersicht  ·  Kennzahlen  ·  Phasen- und Statusauswertung</t>
  </si>
  <si>
    <t>PROJEKTSTAMMDATEN</t>
  </si>
  <si>
    <t>KENNZAHLEN AUF EINEN BLICK</t>
  </si>
  <si>
    <t>Projektname</t>
  </si>
  <si>
    <t>Musterprojekt 2026</t>
  </si>
  <si>
    <t>Projektnummer</t>
  </si>
  <si>
    <t>PRJ-2026-001</t>
  </si>
  <si>
    <t>Gesamtfortschritt</t>
  </si>
  <si>
    <t>Vorgänge gesamt</t>
  </si>
  <si>
    <t>Meilensteine</t>
  </si>
  <si>
    <t>Auftraggeber / Kunde</t>
  </si>
  <si>
    <t>Musterfirma GmbH</t>
  </si>
  <si>
    <t>Projektleitung</t>
  </si>
  <si>
    <t>M. Berger</t>
  </si>
  <si>
    <t>Abgeschlossen</t>
  </si>
  <si>
    <t>In Arbeit</t>
  </si>
  <si>
    <t>Nicht begonnen</t>
  </si>
  <si>
    <t>Bereich / Abteilung</t>
  </si>
  <si>
    <t>Organisation &amp; Prozesse</t>
  </si>
  <si>
    <t>Projektstart (geplant)</t>
  </si>
  <si>
    <t>Überfällig</t>
  </si>
  <si>
    <t>Blockiert</t>
  </si>
  <si>
    <t>Restlaufzeit</t>
  </si>
  <si>
    <t>Projektende (geplant)</t>
  </si>
  <si>
    <t>Gesamtdauer (Arbeitstage)</t>
  </si>
  <si>
    <t>Stichtag der Auswertung</t>
  </si>
  <si>
    <t>Projektstatus (autom.)</t>
  </si>
  <si>
    <t>PHASENÜBERSICHT</t>
  </si>
  <si>
    <t>Phase</t>
  </si>
  <si>
    <t>Vorgänge</t>
  </si>
  <si>
    <t>Ø Fortschritt</t>
  </si>
  <si>
    <t>Start</t>
  </si>
  <si>
    <t>Ende</t>
  </si>
  <si>
    <t>Plan (Std.)</t>
  </si>
  <si>
    <t>Ist (Std.)</t>
  </si>
  <si>
    <t>Abweichung</t>
  </si>
  <si>
    <t>1 · Initiierung</t>
  </si>
  <si>
    <t>2 · Konzeption</t>
  </si>
  <si>
    <t>3 · Umsetzung</t>
  </si>
  <si>
    <t>4 · Test &amp; Abnahme</t>
  </si>
  <si>
    <t>5 · Rollout &amp; Abschluss</t>
  </si>
  <si>
    <t>GESAMT</t>
  </si>
  <si>
    <t>STATUSVERTEILUNG</t>
  </si>
  <si>
    <t>Status</t>
  </si>
  <si>
    <t>Anzahl</t>
  </si>
  <si>
    <t>Anteil</t>
  </si>
  <si>
    <t>LEGENDE TERMINSTATUS (automatisch berechnet)</t>
  </si>
  <si>
    <t>Geplant</t>
  </si>
  <si>
    <t>Vorgang beginnt erst nach dem Stichtag.</t>
  </si>
  <si>
    <t>Im Plan</t>
  </si>
  <si>
    <t>Läuft; Fortschritt entspricht dem Zeitverlauf.</t>
  </si>
  <si>
    <t>Im Verzug</t>
  </si>
  <si>
    <t>Fortschritt liegt über 10 Prozentpunkte hinter dem Soll.</t>
  </si>
  <si>
    <t>Enddatum überschritten, Vorgang nicht abgeschlossen.</t>
  </si>
  <si>
    <t>Status wurde manuell auf »Blockiert« gesetzt.</t>
  </si>
  <si>
    <t>Erledigt</t>
  </si>
  <si>
    <t>Status wurde auf »Abgeschlossen« gesetzt.</t>
  </si>
  <si>
    <t>SO ARBEITEN SIE MIT DIESER VORLAGE</t>
  </si>
  <si>
    <t>1.  Stammdaten oben links ausfüllen. Beige hinterlegte Zellen sind Eingabefelder, grau hinterlegte Zellen enthalten Formeln und sollten nicht überschrieben werden.</t>
  </si>
  <si>
    <t>2.  Im Blatt »Projektplan« Phase, Arbeitspaket, Verantwortlichkeit, Start- und Enddatum, Fortschritt sowie Plan- und Ist-Stunden eintragen. Phase, Verantwortlich und Status sind Auswahlfelder.</t>
  </si>
  <si>
    <t>3.  Dauer (Arbeitstage) und Terminstatus berechnen sich automatisch; Feiertage werden aus dem Blatt »Konfiguration« berücksichtigt.</t>
  </si>
  <si>
    <t>4.  Vorgänge mit identischem Start- und Enddatum gelten als Meilenstein und werden in der Zeitachse gold markiert.</t>
  </si>
  <si>
    <t>5.  Die Zeitachse zeigt Kalenderwochen. Mit dem Feld »Zeitachse ab (Montag)« im Blatt »Projektplan« verschieben Sie den dargestellten Zeitraum.</t>
  </si>
  <si>
    <t>6.  Die aktuelle Kalenderwoche wird durch eine dunkle Markierung hervorgehoben und aktualisiert sich täglich.</t>
  </si>
  <si>
    <t>7.  Alle Auswertungen auf diesem Blatt aktualisieren sich automatisch, sobald Vorgänge ergänzt, geändert oder gelöscht werden.</t>
  </si>
  <si>
    <t>Zeitachse ab (Montag):</t>
  </si>
  <si>
    <t>Stichtag:</t>
  </si>
  <si>
    <t>Beige Zellen = Eingabe   ·   graue Zellen = Formel</t>
  </si>
  <si>
    <t>Geplanter Zeitraum</t>
  </si>
  <si>
    <t>Ist-Fortschritt</t>
  </si>
  <si>
    <t>Meilenstein</t>
  </si>
  <si>
    <t>Aktuelle Woche</t>
  </si>
  <si>
    <t>VORGÄNGE  ·  ARBEITSPAKETE UND MEILENSTEINE</t>
  </si>
  <si>
    <t>Nr.</t>
  </si>
  <si>
    <t>Arbeitspaket / Vorgang</t>
  </si>
  <si>
    <t>Verantwortlich</t>
  </si>
  <si>
    <t>Dauer
(AT)</t>
  </si>
  <si>
    <t>Fort-
schritt</t>
  </si>
  <si>
    <t>Plan
(Std.)</t>
  </si>
  <si>
    <t>Ist
(Std.)</t>
  </si>
  <si>
    <t>Terminstatus</t>
  </si>
  <si>
    <t>1.1</t>
  </si>
  <si>
    <t>Projektauftrag und Zielsetzung abstimmen</t>
  </si>
  <si>
    <t>1.2</t>
  </si>
  <si>
    <t>Stakeholder-Analyse durchführen</t>
  </si>
  <si>
    <t>A. Keller</t>
  </si>
  <si>
    <t>1.3</t>
  </si>
  <si>
    <t>Ressourcen- und Grobbudgetplanung</t>
  </si>
  <si>
    <t>1.4</t>
  </si>
  <si>
    <t>Projektorganisation und Rollen festlegen</t>
  </si>
  <si>
    <t>S. Vogt</t>
  </si>
  <si>
    <t>1.5</t>
  </si>
  <si>
    <t>◆ Meilenstein: Projektfreigabe erteilt</t>
  </si>
  <si>
    <t>2.1</t>
  </si>
  <si>
    <t>Anforderungen erheben und priorisieren</t>
  </si>
  <si>
    <t>2.2</t>
  </si>
  <si>
    <t>Ist-Analyse und Machbarkeitsbewertung</t>
  </si>
  <si>
    <t>L. Brandt</t>
  </si>
  <si>
    <t>2.3</t>
  </si>
  <si>
    <t>Lösungskonzept erarbeiten</t>
  </si>
  <si>
    <t>2.4</t>
  </si>
  <si>
    <t>Aufwandsschätzung und Detailplanung</t>
  </si>
  <si>
    <t>2.5</t>
  </si>
  <si>
    <t>Risikoanalyse und Gegenmaßnahmen definieren</t>
  </si>
  <si>
    <t>N. Sommer</t>
  </si>
  <si>
    <t>2.6</t>
  </si>
  <si>
    <t>◆ Meilenstein: Konzept freigegeben</t>
  </si>
  <si>
    <t>3.1</t>
  </si>
  <si>
    <t>Arbeitspakete an Teilprojekte übergeben</t>
  </si>
  <si>
    <t>3.2</t>
  </si>
  <si>
    <t>Umsetzung Teilbereich A</t>
  </si>
  <si>
    <t>T. Hofmann</t>
  </si>
  <si>
    <t>3.3</t>
  </si>
  <si>
    <t>Umsetzung Teilbereich B</t>
  </si>
  <si>
    <t>3.4</t>
  </si>
  <si>
    <t>Externe Dienstleister steuern</t>
  </si>
  <si>
    <t>Externer Partner</t>
  </si>
  <si>
    <t>3.5</t>
  </si>
  <si>
    <t>Zwischenreview und Statusbericht</t>
  </si>
  <si>
    <t>3.6</t>
  </si>
  <si>
    <t>◆ Meilenstein: Umsetzung abgeschlossen</t>
  </si>
  <si>
    <t>4.1</t>
  </si>
  <si>
    <t>Testkonzept und Testfälle erstellen</t>
  </si>
  <si>
    <t>R. Kaiser</t>
  </si>
  <si>
    <t>4.2</t>
  </si>
  <si>
    <t>Funktions- und Integrationstests</t>
  </si>
  <si>
    <t>4.3</t>
  </si>
  <si>
    <t>Fehlerbehebung und Nachtest</t>
  </si>
  <si>
    <t>4.4</t>
  </si>
  <si>
    <t>Abnahmeprotokoll erstellen und abstimmen</t>
  </si>
  <si>
    <t>4.5</t>
  </si>
  <si>
    <t>◆ Meilenstein: Abnahme durch Auftraggeber</t>
  </si>
  <si>
    <t>5.1</t>
  </si>
  <si>
    <t>Schulungen vorbereiten und durchführen</t>
  </si>
  <si>
    <t>J. Winter</t>
  </si>
  <si>
    <t>5.2</t>
  </si>
  <si>
    <t>Rollout und Inbetriebnahme</t>
  </si>
  <si>
    <t>5.3</t>
  </si>
  <si>
    <t>Hypercare und Anwendersupport</t>
  </si>
  <si>
    <t>5.4</t>
  </si>
  <si>
    <t>Projektdokumentation finalisieren</t>
  </si>
  <si>
    <t>5.5</t>
  </si>
  <si>
    <t>Lessons Learned Workshop</t>
  </si>
  <si>
    <t>5.6</t>
  </si>
  <si>
    <t>◆ Meilenstein: Projektabschluss und Übergabe</t>
  </si>
  <si>
    <t>GESAMT / DURCHSCHNITT</t>
  </si>
  <si>
    <t>KONFIGURATION  ·  AUSWAHLLISTEN, FEIERTAGE UND STAMMDATEN</t>
  </si>
  <si>
    <t>PROJEKTPHASEN</t>
  </si>
  <si>
    <t>STATUS</t>
  </si>
  <si>
    <t>VERANTWORTLICHE</t>
  </si>
  <si>
    <t>TERMINSTATUS (autom.)</t>
  </si>
  <si>
    <t>FEIERTAGE 2026 (bundeseinheitlich)</t>
  </si>
  <si>
    <t>MONATE</t>
  </si>
  <si>
    <t>Neujahr</t>
  </si>
  <si>
    <t>Januar</t>
  </si>
  <si>
    <t>Karfreitag</t>
  </si>
  <si>
    <t>Februar</t>
  </si>
  <si>
    <t>Ostermontag</t>
  </si>
  <si>
    <t>März</t>
  </si>
  <si>
    <t>Tag der Arbeit</t>
  </si>
  <si>
    <t>April</t>
  </si>
  <si>
    <t>Christi Himmelfahrt</t>
  </si>
  <si>
    <t>Mai</t>
  </si>
  <si>
    <t>Pfingstmontag</t>
  </si>
  <si>
    <t>Juni</t>
  </si>
  <si>
    <t>Tag der Deutschen Einheit</t>
  </si>
  <si>
    <t>Juli</t>
  </si>
  <si>
    <t>1. Weihnachtstag</t>
  </si>
  <si>
    <t>August</t>
  </si>
  <si>
    <t>2. Weihnachtstag</t>
  </si>
  <si>
    <t>September</t>
  </si>
  <si>
    <t>Oktober</t>
  </si>
  <si>
    <t>November</t>
  </si>
  <si>
    <t>Hinweis: Diese Listen speisen die Auswahlfelder (Dropdowns) im Blatt »Projektplan«. Neue Einträge einfach ergänzen – die Dropdowns wachsen mit,</t>
  </si>
  <si>
    <t>Dezember</t>
  </si>
  <si>
    <t>sofern der Bereich erweitert wird. Die Feiertagsliste wird von der Funktion NETTOARBEITSTAGE für die Dauerberechnung ausgewertet.</t>
  </si>
  <si>
    <t>MONATE KURZ</t>
  </si>
  <si>
    <t>Jan</t>
  </si>
  <si>
    <t>Feb</t>
  </si>
  <si>
    <t>Mär</t>
  </si>
  <si>
    <t>Apr</t>
  </si>
  <si>
    <t>Jun</t>
  </si>
  <si>
    <t>Jul</t>
  </si>
  <si>
    <t>Aug</t>
  </si>
  <si>
    <t>Sep</t>
  </si>
  <si>
    <t>Okt</t>
  </si>
  <si>
    <t>Nov</t>
  </si>
  <si>
    <t>Dez</t>
  </si>
  <si>
    <t>PROJEKTPLAN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</si>
</sst>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&quot; Tage&quot;"/>
    <numFmt numFmtId="165" formatCode="dd\.mm\.yyyy"/>
    <numFmt numFmtId="166" formatCode="0&quot; AT&quot;"/>
    <numFmt numFmtId="167" formatCode="#,##0;\-#,##0;\–"/>
    <numFmt numFmtId="168" formatCode="\+#,##0;\-#,##0;\–"/>
    <numFmt numFmtId="169" formatCode="0&quot; Vorgänge&quot;"/>
    <numFmt numFmtId="170" formatCode="0&quot; überfällig&quot;"/>
  </numFmts>
  <fonts count="2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5A6472"/>
      <name val="Calibri"/>
      <charset val="1"/>
    </font>
    <font>
      <b/>
      <sz val="9"/>
      <color rgb="FFFFFFFF"/>
      <name val="Calibri"/>
      <charset val="1"/>
    </font>
    <font>
      <b/>
      <sz val="10"/>
      <color rgb="FF1F4E9C"/>
      <name val="Calibri"/>
      <charset val="1"/>
    </font>
    <font>
      <b/>
      <sz val="15"/>
      <color rgb="FF1F3864"/>
      <name val="Calibri"/>
      <charset val="1"/>
    </font>
    <font>
      <b/>
      <sz val="15"/>
      <color rgb="FFC8912A"/>
      <name val="Calibri"/>
      <charset val="1"/>
    </font>
    <font>
      <sz val="8"/>
      <color rgb="FF5A6472"/>
      <name val="Calibri"/>
      <charset val="1"/>
    </font>
    <font>
      <b/>
      <sz val="15"/>
      <color rgb="FF5A6472"/>
      <name val="Calibri"/>
      <charset val="1"/>
    </font>
    <font>
      <b/>
      <sz val="15"/>
      <color rgb="FFC0504D"/>
      <name val="Calibri"/>
      <charset val="1"/>
    </font>
    <font>
      <b/>
      <sz val="10"/>
      <color rgb="FF24303F"/>
      <name val="Calibri"/>
      <charset val="1"/>
    </font>
    <font>
      <b/>
      <sz val="9"/>
      <color rgb="FF1F3864"/>
      <name val="Calibri"/>
      <charset val="1"/>
    </font>
    <font>
      <sz val="10"/>
      <color rgb="FF24303F"/>
      <name val="Calibri"/>
      <charset val="1"/>
    </font>
    <font>
      <b/>
      <sz val="10"/>
      <color rgb="FFFFFFFF"/>
      <name val="Calibri"/>
      <charset val="1"/>
    </font>
    <font>
      <b/>
      <sz val="9"/>
      <color rgb="FF5A6472"/>
      <name val="Calibri"/>
      <charset val="1"/>
    </font>
    <font>
      <sz val="9"/>
      <color rgb="FF5A6472"/>
      <name val="Calibri"/>
      <charset val="1"/>
    </font>
    <font>
      <b/>
      <sz val="9"/>
      <color rgb="FF8A5A00"/>
      <name val="Calibri"/>
      <charset val="1"/>
    </font>
    <font>
      <b/>
      <sz val="9"/>
      <color rgb="FF9C2A26"/>
      <name val="Calibri"/>
      <charset val="1"/>
    </font>
    <font>
      <b/>
      <sz val="10"/>
      <color rgb="FF1F3864"/>
      <name val="Calibri"/>
      <charset val="1"/>
    </font>
    <font>
      <b/>
      <sz val="9"/>
      <color rgb="FF333F4F"/>
      <name val="Calibri"/>
      <charset val="1"/>
    </font>
    <font>
      <b/>
      <sz val="8"/>
      <color rgb="FFFFFFFF"/>
      <name val="Calibri"/>
      <charset val="1"/>
    </font>
    <font>
      <sz val="9"/>
      <color rgb="FF24303F"/>
      <name val="Calibri"/>
      <charset val="1"/>
    </font>
    <font>
      <b/>
      <sz val="9"/>
      <color rgb="FF24303F"/>
      <name val="Calibri"/>
      <charset val="1"/>
    </font>
    <font>
      <b/>
      <sz val="13"/>
      <color rgb="FFFFFFFF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24303F"/>
      </patternFill>
    </fill>
    <fill>
      <patternFill patternType="solid">
        <fgColor rgb="FFF4F6F9"/>
        <bgColor rgb="FFF7F9FC"/>
      </patternFill>
    </fill>
    <fill>
      <patternFill patternType="solid">
        <fgColor rgb="FF2E5C8A"/>
        <bgColor rgb="FF1F4E9C"/>
      </patternFill>
    </fill>
    <fill>
      <patternFill patternType="solid">
        <fgColor rgb="FFFFFDF5"/>
        <bgColor rgb="FFFFFFFF"/>
      </patternFill>
    </fill>
    <fill>
      <patternFill patternType="solid">
        <fgColor rgb="FFDCE6F1"/>
        <bgColor rgb="FFD6DCE4"/>
      </patternFill>
    </fill>
    <fill>
      <patternFill patternType="solid">
        <fgColor rgb="FFFFFFFF"/>
        <bgColor rgb="FFFFFDF5"/>
      </patternFill>
    </fill>
    <fill>
      <patternFill patternType="solid">
        <fgColor rgb="FFF7F9FC"/>
        <bgColor rgb="FFF4F6F9"/>
      </patternFill>
    </fill>
    <fill>
      <patternFill patternType="solid">
        <fgColor rgb="FFEDF0F4"/>
        <bgColor rgb="FFEEF2F7"/>
      </patternFill>
    </fill>
    <fill>
      <patternFill patternType="solid">
        <fgColor rgb="FFFBEFD5"/>
        <bgColor rgb="FFEDF0F4"/>
      </patternFill>
    </fill>
    <fill>
      <patternFill patternType="solid">
        <fgColor rgb="FFF7DDDC"/>
        <bgColor rgb="FFFBEFD5"/>
      </patternFill>
    </fill>
    <fill>
      <patternFill patternType="solid">
        <fgColor rgb="FFAFC4DC"/>
        <bgColor rgb="FFD9D9D9"/>
      </patternFill>
    </fill>
    <fill>
      <patternFill patternType="solid">
        <fgColor rgb="FFC0504D"/>
        <bgColor rgb="FF993366"/>
      </patternFill>
    </fill>
    <fill>
      <patternFill patternType="solid">
        <fgColor rgb="FFC8912A"/>
        <bgColor rgb="FFFF8080"/>
      </patternFill>
    </fill>
  </fills>
  <borders count="14">
    <border>
      <left/>
      <right/>
      <top/>
      <bottom/>
      <diagonal/>
    </border>
    <border>
      <left/>
      <right/>
      <top/>
      <bottom style="hair">
        <color rgb="FFD6DCE4"/>
      </bottom>
      <diagonal/>
    </border>
    <border>
      <left style="thin">
        <color rgb="FFFFFFFF"/>
      </left>
      <right style="thin">
        <color rgb="FFFFFFFF"/>
      </right>
      <top style="medium">
        <color rgb="FF1F3864"/>
      </top>
      <bottom/>
      <diagonal/>
    </border>
    <border>
      <left style="thin">
        <color rgb="FFFFFFFF"/>
      </left>
      <right style="thin">
        <color rgb="FFFFFFFF"/>
      </right>
      <top style="medium">
        <color rgb="FFC8912A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5A6472"/>
      </top>
      <bottom/>
      <diagonal/>
    </border>
    <border>
      <left style="thin">
        <color rgb="FFFFFFFF"/>
      </left>
      <right style="thin">
        <color rgb="FFFFFFFF"/>
      </right>
      <top style="medium">
        <color rgb="FFC0504D"/>
      </top>
      <bottom/>
      <diagonal/>
    </border>
    <border>
      <left/>
      <right/>
      <top/>
      <bottom style="thin">
        <color rgb="FF1F3864"/>
      </bottom>
      <diagonal/>
    </border>
    <border>
      <left/>
      <right/>
      <top/>
      <bottom style="hair">
        <color rgb="FFFFFFFF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 style="medium">
        <color rgb="FF333F4F"/>
      </left>
      <right style="medium">
        <color rgb="FF333F4F"/>
      </right>
      <top style="medium">
        <color rgb="FF333F4F"/>
      </top>
      <bottom style="medium">
        <color rgb="FF333F4F"/>
      </bottom>
      <diagonal/>
    </border>
    <border>
      <left style="thin">
        <color rgb="FFFFFFFF"/>
      </left>
      <right style="thin">
        <color rgb="FFFFFFFF"/>
      </right>
      <top/>
      <bottom style="medium">
        <color rgb="FF1F3864"/>
      </bottom>
      <diagonal/>
    </border>
    <border>
      <left style="hair">
        <color rgb="FFD6DCE4"/>
      </left>
      <right style="hair">
        <color rgb="FFD6DCE4"/>
      </right>
      <top style="hair">
        <color rgb="FFD6DCE4"/>
      </top>
      <bottom style="hair">
        <color rgb="FFD6DCE4"/>
      </bottom>
      <diagonal/>
    </border>
    <border>
      <left/>
      <right/>
      <top style="medium">
        <color rgb="FF1F38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0" fillId="3" borderId="1" xfId="0" applyFont="1" applyFill="1" applyBorder="1" applyAlignment="1">
      <alignment horizontal="left" vertical="center" indent="1"/>
    </xf>
    <xf numFmtId="166" fontId="10" fillId="3" borderId="1" xfId="0" applyNumberFormat="1" applyFont="1" applyFill="1" applyBorder="1" applyAlignment="1">
      <alignment horizontal="left" vertical="center" indent="1"/>
    </xf>
    <xf numFmtId="165" fontId="10" fillId="3" borderId="1" xfId="0" applyNumberFormat="1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center" vertical="center"/>
    </xf>
    <xf numFmtId="1" fontId="9" fillId="3" borderId="6" xfId="0" applyNumberFormat="1" applyFont="1" applyFill="1" applyBorder="1" applyAlignment="1">
      <alignment horizontal="center" vertical="center"/>
    </xf>
    <xf numFmtId="1" fontId="8" fillId="3" borderId="5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11" fillId="6" borderId="7" xfId="0" applyFont="1" applyFill="1" applyBorder="1" applyAlignment="1">
      <alignment horizontal="left" vertical="center" indent="1"/>
    </xf>
    <xf numFmtId="0" fontId="11" fillId="6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indent="1"/>
    </xf>
    <xf numFmtId="1" fontId="12" fillId="7" borderId="1" xfId="0" applyNumberFormat="1" applyFont="1" applyFill="1" applyBorder="1" applyAlignment="1">
      <alignment horizontal="center" vertical="center"/>
    </xf>
    <xf numFmtId="9" fontId="12" fillId="7" borderId="1" xfId="0" applyNumberFormat="1" applyFont="1" applyFill="1" applyBorder="1" applyAlignment="1">
      <alignment horizontal="center" vertical="center"/>
    </xf>
    <xf numFmtId="165" fontId="12" fillId="7" borderId="1" xfId="0" applyNumberFormat="1" applyFont="1" applyFill="1" applyBorder="1" applyAlignment="1">
      <alignment horizontal="center" vertical="center"/>
    </xf>
    <xf numFmtId="167" fontId="12" fillId="7" borderId="1" xfId="0" applyNumberFormat="1" applyFont="1" applyFill="1" applyBorder="1" applyAlignment="1">
      <alignment horizontal="center" vertical="center"/>
    </xf>
    <xf numFmtId="168" fontId="12" fillId="7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 indent="1"/>
    </xf>
    <xf numFmtId="1" fontId="12" fillId="8" borderId="1" xfId="0" applyNumberFormat="1" applyFont="1" applyFill="1" applyBorder="1" applyAlignment="1">
      <alignment horizontal="center" vertical="center"/>
    </xf>
    <xf numFmtId="9" fontId="12" fillId="8" borderId="1" xfId="0" applyNumberFormat="1" applyFont="1" applyFill="1" applyBorder="1" applyAlignment="1">
      <alignment horizontal="center" vertical="center"/>
    </xf>
    <xf numFmtId="165" fontId="12" fillId="8" borderId="1" xfId="0" applyNumberFormat="1" applyFont="1" applyFill="1" applyBorder="1" applyAlignment="1">
      <alignment horizontal="center" vertical="center"/>
    </xf>
    <xf numFmtId="167" fontId="12" fillId="8" borderId="1" xfId="0" applyNumberFormat="1" applyFont="1" applyFill="1" applyBorder="1" applyAlignment="1">
      <alignment horizontal="center" vertical="center"/>
    </xf>
    <xf numFmtId="168" fontId="12" fillId="8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indent="1"/>
    </xf>
    <xf numFmtId="1" fontId="13" fillId="2" borderId="0" xfId="0" applyNumberFormat="1" applyFont="1" applyFill="1" applyAlignment="1">
      <alignment horizontal="center" vertical="center"/>
    </xf>
    <xf numFmtId="9" fontId="13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 vertical="center"/>
    </xf>
    <xf numFmtId="167" fontId="13" fillId="2" borderId="0" xfId="0" applyNumberFormat="1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0" fontId="12" fillId="7" borderId="1" xfId="0" applyFont="1" applyFill="1" applyBorder="1" applyAlignment="1">
      <alignment horizontal="left" vertical="center" indent="1"/>
    </xf>
    <xf numFmtId="0" fontId="12" fillId="8" borderId="1" xfId="0" applyFont="1" applyFill="1" applyBorder="1" applyAlignment="1">
      <alignment horizontal="left" vertical="center" indent="1"/>
    </xf>
    <xf numFmtId="0" fontId="14" fillId="9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7" fillId="11" borderId="8" xfId="0" applyFont="1" applyFill="1" applyBorder="1" applyAlignment="1">
      <alignment horizontal="center" vertical="center"/>
    </xf>
    <xf numFmtId="165" fontId="4" fillId="5" borderId="9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165" fontId="10" fillId="3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20" fillId="2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left" vertical="center" indent="1"/>
    </xf>
    <xf numFmtId="0" fontId="12" fillId="5" borderId="9" xfId="0" applyFont="1" applyFill="1" applyBorder="1" applyAlignment="1">
      <alignment horizontal="left" vertical="center" indent="1"/>
    </xf>
    <xf numFmtId="165" fontId="12" fillId="5" borderId="9" xfId="0" applyNumberFormat="1" applyFont="1" applyFill="1" applyBorder="1" applyAlignment="1">
      <alignment horizontal="center" vertical="center"/>
    </xf>
    <xf numFmtId="1" fontId="12" fillId="3" borderId="9" xfId="0" applyNumberFormat="1" applyFont="1" applyFill="1" applyBorder="1" applyAlignment="1">
      <alignment horizontal="center" vertical="center"/>
    </xf>
    <xf numFmtId="9" fontId="12" fillId="5" borderId="9" xfId="0" applyNumberFormat="1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167" fontId="12" fillId="5" borderId="9" xfId="0" applyNumberFormat="1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0" fillId="7" borderId="12" xfId="0" applyFill="1" applyBorder="1"/>
    <xf numFmtId="0" fontId="10" fillId="5" borderId="9" xfId="0" applyFont="1" applyFill="1" applyBorder="1" applyAlignment="1">
      <alignment horizontal="left" vertical="center" indent="1"/>
    </xf>
    <xf numFmtId="165" fontId="13" fillId="2" borderId="13" xfId="0" applyNumberFormat="1" applyFont="1" applyFill="1" applyBorder="1" applyAlignment="1">
      <alignment horizontal="center" vertical="center"/>
    </xf>
    <xf numFmtId="1" fontId="13" fillId="2" borderId="13" xfId="0" applyNumberFormat="1" applyFont="1" applyFill="1" applyBorder="1" applyAlignment="1">
      <alignment horizontal="center" vertical="center"/>
    </xf>
    <xf numFmtId="9" fontId="13" fillId="2" borderId="13" xfId="0" applyNumberFormat="1" applyFont="1" applyFill="1" applyBorder="1" applyAlignment="1">
      <alignment horizontal="center" vertical="center"/>
    </xf>
    <xf numFmtId="169" fontId="13" fillId="2" borderId="13" xfId="0" applyNumberFormat="1" applyFont="1" applyFill="1" applyBorder="1" applyAlignment="1">
      <alignment horizontal="center" vertical="center"/>
    </xf>
    <xf numFmtId="167" fontId="13" fillId="2" borderId="13" xfId="0" applyNumberFormat="1" applyFont="1" applyFill="1" applyBorder="1" applyAlignment="1">
      <alignment horizontal="center" vertical="center"/>
    </xf>
    <xf numFmtId="170" fontId="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 indent="1"/>
    </xf>
    <xf numFmtId="165" fontId="12" fillId="7" borderId="9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15" fillId="7" borderId="0" xfId="0" applyFont="1" applyFill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1" fillId="1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23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20">
    <dxf>
      <fill>
        <patternFill>
          <bgColor rgb="FFAFC4DC"/>
        </patternFill>
      </fill>
    </dxf>
    <dxf>
      <fill>
        <patternFill>
          <bgColor rgb="FF1F3864"/>
        </patternFill>
      </fill>
    </dxf>
    <dxf>
      <fill>
        <patternFill>
          <bgColor rgb="FFC0504D"/>
        </patternFill>
      </fill>
    </dxf>
    <dxf>
      <fill>
        <patternFill>
          <bgColor rgb="FFC8912A"/>
        </patternFill>
      </fill>
    </dxf>
    <dxf>
      <border diagonalUp="0" diagonalDown="0">
        <left style="medium">
          <color rgb="FF333F4F"/>
        </left>
        <right style="medium">
          <color rgb="FF333F4F"/>
        </right>
        <top/>
        <bottom/>
      </border>
    </dxf>
    <dxf>
      <font>
        <b/>
        <color rgb="FFFFFFFF"/>
      </font>
      <fill>
        <patternFill>
          <bgColor rgb="FF333F4F"/>
        </patternFill>
      </fill>
    </dxf>
    <dxf>
      <font>
        <b/>
        <color rgb="FF9C2A26"/>
      </font>
      <fill>
        <patternFill>
          <bgColor rgb="FFF7DDDC"/>
        </patternFill>
      </fill>
    </dxf>
    <dxf>
      <font>
        <b/>
        <color rgb="FF9C2A26"/>
      </font>
      <fill>
        <patternFill>
          <bgColor rgb="FFF7DDDC"/>
        </patternFill>
      </fill>
    </dxf>
    <dxf>
      <font>
        <b/>
        <color rgb="FF8A5A00"/>
      </font>
      <fill>
        <patternFill>
          <bgColor rgb="FFFBEFD5"/>
        </patternFill>
      </fill>
    </dxf>
    <dxf>
      <font>
        <b/>
        <color rgb="FF5A6472"/>
      </font>
      <fill>
        <patternFill>
          <bgColor rgb="FFEDF0F4"/>
        </patternFill>
      </fill>
    </dxf>
    <dxf>
      <font>
        <b/>
        <color rgb="FF5A6472"/>
      </font>
      <fill>
        <patternFill>
          <bgColor rgb="FFEDF0F4"/>
        </patternFill>
      </fill>
    </dxf>
    <dxf>
      <font>
        <b/>
        <color rgb="FF1F3864"/>
      </font>
      <fill>
        <patternFill>
          <bgColor rgb="FFDCE6F1"/>
        </patternFill>
      </fill>
    </dxf>
    <dxf>
      <font>
        <b/>
        <color rgb="FF9C2A26"/>
      </font>
      <fill>
        <patternFill>
          <bgColor rgb="FFF7DDDC"/>
        </patternFill>
      </fill>
    </dxf>
    <dxf>
      <font>
        <b/>
        <color rgb="FF5A6472"/>
      </font>
      <fill>
        <patternFill>
          <bgColor rgb="FFEDF0F4"/>
        </patternFill>
      </fill>
    </dxf>
    <dxf>
      <font>
        <b/>
        <color rgb="FF8A5A00"/>
      </font>
      <fill>
        <patternFill>
          <bgColor rgb="FFFBEFD5"/>
        </patternFill>
      </fill>
    </dxf>
    <dxf>
      <font>
        <b/>
        <color rgb="FF1F3864"/>
      </font>
      <fill>
        <patternFill>
          <bgColor rgb="FFDCE6F1"/>
        </patternFill>
      </fill>
    </dxf>
    <dxf>
      <fill>
        <patternFill>
          <bgColor rgb="FFEEF2F7"/>
        </patternFill>
      </fill>
    </dxf>
    <dxf>
      <font>
        <b/>
        <color rgb="FF1F3864"/>
      </font>
      <fill>
        <patternFill>
          <bgColor rgb="FFDCE6F1"/>
        </patternFill>
      </fill>
    </dxf>
    <dxf>
      <font>
        <b/>
        <color rgb="FF8A5A00"/>
      </font>
      <fill>
        <patternFill>
          <bgColor rgb="FFFBEFD5"/>
        </patternFill>
      </fill>
    </dxf>
    <dxf>
      <font>
        <b/>
        <color rgb="FF9C2A26"/>
      </font>
      <fill>
        <patternFill>
          <bgColor rgb="FFF7DDD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AFC4DC"/>
      <rgbColor rgb="FF878787"/>
      <rgbColor rgb="FF9999FF"/>
      <rgbColor rgb="FFC0504D"/>
      <rgbColor rgb="FFFBEFD5"/>
      <rgbColor rgb="FFEEF2F7"/>
      <rgbColor rgb="FF660066"/>
      <rgbColor rgb="FFFF8080"/>
      <rgbColor rgb="FF2E5C8A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EDF0F4"/>
      <rgbColor rgb="FFFFFDF5"/>
      <rgbColor rgb="FFD9D9D9"/>
      <rgbColor rgb="FFF4F6F9"/>
      <rgbColor rgb="FFF7F9FC"/>
      <rgbColor rgb="FFF7DDDC"/>
      <rgbColor rgb="FF3366FF"/>
      <rgbColor rgb="FF33CCCC"/>
      <rgbColor rgb="FF99CC00"/>
      <rgbColor rgb="FFFFCC00"/>
      <rgbColor rgb="FFC8912A"/>
      <rgbColor rgb="FFFF6600"/>
      <rgbColor rgb="FF5A6472"/>
      <rgbColor rgb="FF969696"/>
      <rgbColor rgb="FF1F3864"/>
      <rgbColor rgb="FF339966"/>
      <rgbColor rgb="FF003300"/>
      <rgbColor rgb="FF333F4F"/>
      <rgbColor rgb="FF9C2A26"/>
      <rgbColor rgb="FF993366"/>
      <rgbColor rgb="FF1F4E9C"/>
      <rgbColor rgb="FF2430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Aufwand je Phase (Std.)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Übersicht!$G$17</c:f>
              <c:strCache>
                <c:ptCount val="1"/>
                <c:pt idx="0">
                  <c:v>Plan (Std.)</c:v>
                </c:pt>
              </c:strCache>
            </c:strRef>
          </c:tx>
          <c:spPr>
            <a:solidFill>
              <a:srgbClr val="1F386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Übersicht!$B$18:$B$22</c:f>
              <c:strCache>
                <c:ptCount val="5"/>
                <c:pt idx="0">
                  <c:v>1 · Initiierung</c:v>
                </c:pt>
                <c:pt idx="1">
                  <c:v>2 · Konzeption</c:v>
                </c:pt>
                <c:pt idx="2">
                  <c:v>3 · Umsetzung</c:v>
                </c:pt>
                <c:pt idx="3">
                  <c:v>4 · Test &amp; Abnahme</c:v>
                </c:pt>
                <c:pt idx="4">
                  <c:v>5 · Rollout &amp; Abschluss</c:v>
                </c:pt>
              </c:strCache>
            </c:strRef>
          </c:cat>
          <c:val>
            <c:numRef>
              <c:f>Übersicht!$G$18:$G$22</c:f>
              <c:numCache>
                <c:formatCode>#,##0;\-#,##0;\–</c:formatCode>
                <c:ptCount val="5"/>
                <c:pt idx="0">
                  <c:v>62</c:v>
                </c:pt>
                <c:pt idx="1">
                  <c:v>250</c:v>
                </c:pt>
                <c:pt idx="2">
                  <c:v>452</c:v>
                </c:pt>
                <c:pt idx="3">
                  <c:v>228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D-44D9-922D-26818AFE20EE}"/>
            </c:ext>
          </c:extLst>
        </c:ser>
        <c:ser>
          <c:idx val="1"/>
          <c:order val="1"/>
          <c:tx>
            <c:strRef>
              <c:f>Übersicht!$H$17</c:f>
              <c:strCache>
                <c:ptCount val="1"/>
                <c:pt idx="0">
                  <c:v>Ist (Std.)</c:v>
                </c:pt>
              </c:strCache>
            </c:strRef>
          </c:tx>
          <c:spPr>
            <a:solidFill>
              <a:srgbClr val="C8912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Übersicht!$B$18:$B$22</c:f>
              <c:strCache>
                <c:ptCount val="5"/>
                <c:pt idx="0">
                  <c:v>1 · Initiierung</c:v>
                </c:pt>
                <c:pt idx="1">
                  <c:v>2 · Konzeption</c:v>
                </c:pt>
                <c:pt idx="2">
                  <c:v>3 · Umsetzung</c:v>
                </c:pt>
                <c:pt idx="3">
                  <c:v>4 · Test &amp; Abnahme</c:v>
                </c:pt>
                <c:pt idx="4">
                  <c:v>5 · Rollout &amp; Abschluss</c:v>
                </c:pt>
              </c:strCache>
            </c:strRef>
          </c:cat>
          <c:val>
            <c:numRef>
              <c:f>Übersicht!$H$18:$H$22</c:f>
              <c:numCache>
                <c:formatCode>#,##0;\-#,##0;\–</c:formatCode>
                <c:ptCount val="5"/>
                <c:pt idx="0">
                  <c:v>63</c:v>
                </c:pt>
                <c:pt idx="1">
                  <c:v>260</c:v>
                </c:pt>
                <c:pt idx="2">
                  <c:v>415</c:v>
                </c:pt>
                <c:pt idx="3">
                  <c:v>18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D-44D9-922D-26818AFE2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230842"/>
        <c:axId val="81599989"/>
      </c:barChart>
      <c:catAx>
        <c:axId val="623084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1599989"/>
        <c:crosses val="autoZero"/>
        <c:auto val="1"/>
        <c:lblAlgn val="ctr"/>
        <c:lblOffset val="100"/>
        <c:noMultiLvlLbl val="0"/>
      </c:catAx>
      <c:valAx>
        <c:axId val="8159998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-#,##0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23084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24</xdr:row>
      <xdr:rowOff>0</xdr:rowOff>
    </xdr:from>
    <xdr:to>
      <xdr:col>12</xdr:col>
      <xdr:colOff>9525</xdr:colOff>
      <xdr:row>39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L48"/>
  <sheetViews>
    <sheetView showGridLines="0" tabSelected="1" zoomScaleNormal="100" workbookViewId="0">
      <selection activeCell="B45" sqref="B45:L45"/>
    </sheetView>
  </sheetViews>
  <sheetFormatPr baseColWidth="10" defaultColWidth="8.7109375" defaultRowHeight="15" x14ac:dyDescent="0.25"/>
  <cols>
    <col min="1" max="1" width="2" customWidth="1"/>
    <col min="2" max="2" width="26" customWidth="1"/>
    <col min="3" max="12" width="13" customWidth="1"/>
  </cols>
  <sheetData>
    <row r="1" spans="1:12" ht="36" customHeight="1" x14ac:dyDescent="0.25">
      <c r="A1" s="14" t="s">
        <v>189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9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9.75" customHeight="1" x14ac:dyDescent="0.25"/>
    <row r="4" spans="1:12" ht="18" customHeight="1" x14ac:dyDescent="0.25">
      <c r="B4" s="12" t="s">
        <v>2</v>
      </c>
      <c r="C4" s="12"/>
      <c r="D4" s="12"/>
      <c r="E4" s="12"/>
      <c r="G4" s="12" t="s">
        <v>3</v>
      </c>
      <c r="H4" s="12"/>
      <c r="I4" s="12"/>
      <c r="J4" s="12"/>
      <c r="K4" s="12"/>
      <c r="L4" s="12"/>
    </row>
    <row r="5" spans="1:12" ht="21.75" customHeight="1" x14ac:dyDescent="0.25">
      <c r="B5" s="16" t="s">
        <v>4</v>
      </c>
      <c r="C5" s="11" t="s">
        <v>5</v>
      </c>
      <c r="D5" s="11"/>
      <c r="E5" s="11"/>
      <c r="G5" s="10">
        <f>Projektplan!$H$41</f>
        <v>0.6230902777777777</v>
      </c>
      <c r="H5" s="10"/>
      <c r="I5" s="9">
        <f>COUNTA(Projektplan!$C$7:$C$40)</f>
        <v>28</v>
      </c>
      <c r="J5" s="9"/>
      <c r="K5" s="8">
        <f>SUMPRODUCT((Projektplan!$C$7:$C$40&lt;&gt;"")*(Projektplan!$E$7:$E$40&lt;&gt;"")*(Projektplan!$E$7:$E$40=Projektplan!$F$7:$F$40))</f>
        <v>5</v>
      </c>
      <c r="L5" s="8"/>
    </row>
    <row r="6" spans="1:12" ht="13.5" customHeight="1" x14ac:dyDescent="0.25">
      <c r="B6" s="16" t="s">
        <v>6</v>
      </c>
      <c r="C6" s="11" t="s">
        <v>7</v>
      </c>
      <c r="D6" s="11"/>
      <c r="E6" s="11"/>
      <c r="G6" s="7" t="s">
        <v>8</v>
      </c>
      <c r="H6" s="7"/>
      <c r="I6" s="7" t="s">
        <v>9</v>
      </c>
      <c r="J6" s="7"/>
      <c r="K6" s="7" t="s">
        <v>10</v>
      </c>
      <c r="L6" s="7"/>
    </row>
    <row r="7" spans="1:12" ht="21.75" customHeight="1" x14ac:dyDescent="0.25">
      <c r="B7" s="16" t="s">
        <v>11</v>
      </c>
      <c r="C7" s="11" t="s">
        <v>12</v>
      </c>
      <c r="D7" s="11"/>
      <c r="E7" s="11"/>
      <c r="G7" s="9">
        <f>COUNTIF(Projektplan!$I$7:$I$40,"Abgeschlossen")</f>
        <v>14</v>
      </c>
      <c r="H7" s="9"/>
      <c r="I7" s="9">
        <f>COUNTIF(Projektplan!$I$7:$I$40,"In Arbeit")</f>
        <v>3</v>
      </c>
      <c r="J7" s="9"/>
      <c r="K7" s="6">
        <f>COUNTIF(Projektplan!$I$7:$I$40,"Nicht begonnen")</f>
        <v>10</v>
      </c>
      <c r="L7" s="6"/>
    </row>
    <row r="8" spans="1:12" ht="13.5" customHeight="1" x14ac:dyDescent="0.25">
      <c r="B8" s="16" t="s">
        <v>13</v>
      </c>
      <c r="C8" s="11" t="s">
        <v>14</v>
      </c>
      <c r="D8" s="11"/>
      <c r="E8" s="11"/>
      <c r="G8" s="7" t="s">
        <v>15</v>
      </c>
      <c r="H8" s="7"/>
      <c r="I8" s="7" t="s">
        <v>16</v>
      </c>
      <c r="J8" s="7"/>
      <c r="K8" s="7" t="s">
        <v>17</v>
      </c>
      <c r="L8" s="7"/>
    </row>
    <row r="9" spans="1:12" ht="21.75" customHeight="1" x14ac:dyDescent="0.25">
      <c r="B9" s="16" t="s">
        <v>18</v>
      </c>
      <c r="C9" s="11" t="s">
        <v>19</v>
      </c>
      <c r="D9" s="11"/>
      <c r="E9" s="11"/>
      <c r="G9" s="5">
        <f ca="1">COUNTIF(Projektplan!$L$7:$L$40,"Überfällig")</f>
        <v>1</v>
      </c>
      <c r="H9" s="5"/>
      <c r="I9" s="5">
        <f>COUNTIF(Projektplan!$I$7:$I$40,"Blockiert")</f>
        <v>1</v>
      </c>
      <c r="J9" s="5"/>
      <c r="K9" s="4">
        <f ca="1">MAX(0,$C$11-TODAY())</f>
        <v>77</v>
      </c>
      <c r="L9" s="4"/>
    </row>
    <row r="10" spans="1:12" ht="13.5" customHeight="1" x14ac:dyDescent="0.25">
      <c r="B10" s="16" t="s">
        <v>20</v>
      </c>
      <c r="C10" s="3">
        <f>Projektplan!$E$41</f>
        <v>46125</v>
      </c>
      <c r="D10" s="3"/>
      <c r="E10" s="3"/>
      <c r="G10" s="7" t="s">
        <v>21</v>
      </c>
      <c r="H10" s="7"/>
      <c r="I10" s="7" t="s">
        <v>22</v>
      </c>
      <c r="J10" s="7"/>
      <c r="K10" s="7" t="s">
        <v>23</v>
      </c>
      <c r="L10" s="7"/>
    </row>
    <row r="11" spans="1:12" ht="19.5" customHeight="1" x14ac:dyDescent="0.25">
      <c r="B11" s="16" t="s">
        <v>24</v>
      </c>
      <c r="C11" s="3">
        <f>Projektplan!$F$41</f>
        <v>46332</v>
      </c>
      <c r="D11" s="3"/>
      <c r="E11" s="3"/>
    </row>
    <row r="12" spans="1:12" ht="19.5" customHeight="1" x14ac:dyDescent="0.25">
      <c r="B12" s="16" t="s">
        <v>25</v>
      </c>
      <c r="C12" s="2">
        <f>IFERROR(NETWORKDAYS($C$10,$C$11,Konfiguration!$J$4:$J$12),"")</f>
        <v>147</v>
      </c>
      <c r="D12" s="2"/>
      <c r="E12" s="2"/>
    </row>
    <row r="13" spans="1:12" ht="19.5" customHeight="1" x14ac:dyDescent="0.25">
      <c r="B13" s="16" t="s">
        <v>26</v>
      </c>
      <c r="C13" s="3">
        <f ca="1">TODAY()</f>
        <v>46255</v>
      </c>
      <c r="D13" s="3"/>
      <c r="E13" s="3"/>
    </row>
    <row r="14" spans="1:12" ht="19.5" customHeight="1" x14ac:dyDescent="0.25">
      <c r="B14" s="16" t="s">
        <v>27</v>
      </c>
      <c r="C14" s="1" t="str">
        <f ca="1">IF($G$5&gt;=1,"Abgeschlossen",IF(COUNTIF(Projektplan!$L$7:$L$40,"Überfällig")+COUNTIF(Projektplan!$L$7:$L$40,"Blockiert")&gt;0,"Kritisch",IF(COUNTIF(Projektplan!$L$7:$L$40,"Im Verzug")&gt;0,"Beobachten","Im Plan")))</f>
        <v>Kritisch</v>
      </c>
      <c r="D14" s="1"/>
      <c r="E14" s="1"/>
    </row>
    <row r="15" spans="1:12" ht="12" customHeight="1" x14ac:dyDescent="0.25"/>
    <row r="16" spans="1:12" ht="18" customHeight="1" x14ac:dyDescent="0.25">
      <c r="B16" s="12" t="s">
        <v>28</v>
      </c>
      <c r="C16" s="12"/>
      <c r="D16" s="12"/>
      <c r="E16" s="12"/>
      <c r="F16" s="12"/>
      <c r="G16" s="12"/>
      <c r="H16" s="12"/>
      <c r="I16" s="12"/>
    </row>
    <row r="17" spans="2:9" ht="19.5" customHeight="1" x14ac:dyDescent="0.25">
      <c r="B17" s="17" t="s">
        <v>29</v>
      </c>
      <c r="C17" s="18" t="s">
        <v>30</v>
      </c>
      <c r="D17" s="18" t="s">
        <v>31</v>
      </c>
      <c r="E17" s="18" t="s">
        <v>32</v>
      </c>
      <c r="F17" s="18" t="s">
        <v>33</v>
      </c>
      <c r="G17" s="18" t="s">
        <v>34</v>
      </c>
      <c r="H17" s="18" t="s">
        <v>35</v>
      </c>
      <c r="I17" s="18" t="s">
        <v>36</v>
      </c>
    </row>
    <row r="18" spans="2:9" ht="18" customHeight="1" x14ac:dyDescent="0.25">
      <c r="B18" s="19" t="s">
        <v>37</v>
      </c>
      <c r="C18" s="20">
        <f>COUNTIF(Projektplan!$B$7:$B$40,$B18)</f>
        <v>5</v>
      </c>
      <c r="D18" s="21">
        <f>IFERROR(SUMPRODUCT((Projektplan!$B$7:$B$40=$B18)*Projektplan!$H$7:$H$40*Projektplan!$J$7:$J$40)/SUMIF(Projektplan!$B$7:$B$40,$B18,Projektplan!$J$7:$J$40),0)</f>
        <v>1</v>
      </c>
      <c r="E18" s="22">
        <f>IFERROR(_xlfn.MINIFS(Projektplan!$E$7:$E$40,Projektplan!$B$7:$B$40,$B18),"")</f>
        <v>46125</v>
      </c>
      <c r="F18" s="22">
        <f>IFERROR(_xlfn.MAXIFS(Projektplan!$F$7:$F$40,Projektplan!$B$7:$B$40,$B18),"")</f>
        <v>46146</v>
      </c>
      <c r="G18" s="23">
        <f>SUMIF(Projektplan!$B$7:$B$40,$B18,Projektplan!$J$7:$J$40)</f>
        <v>62</v>
      </c>
      <c r="H18" s="23">
        <f>SUMIF(Projektplan!$B$7:$B$40,$B18,Projektplan!$K$7:$K$40)</f>
        <v>63</v>
      </c>
      <c r="I18" s="24">
        <f t="shared" ref="I18:I23" si="0">$H18-$G18</f>
        <v>1</v>
      </c>
    </row>
    <row r="19" spans="2:9" ht="18" customHeight="1" x14ac:dyDescent="0.25">
      <c r="B19" s="25" t="s">
        <v>38</v>
      </c>
      <c r="C19" s="26">
        <f>COUNTIF(Projektplan!$B$7:$B$40,$B19)</f>
        <v>6</v>
      </c>
      <c r="D19" s="27">
        <f>IFERROR(SUMPRODUCT((Projektplan!$B$7:$B$40=$B19)*Projektplan!$H$7:$H$40*Projektplan!$J$7:$J$40)/SUMIF(Projektplan!$B$7:$B$40,$B19,Projektplan!$J$7:$J$40),0)</f>
        <v>1</v>
      </c>
      <c r="E19" s="28">
        <f>IFERROR(_xlfn.MINIFS(Projektplan!$E$7:$E$40,Projektplan!$B$7:$B$40,$B19),"")</f>
        <v>46147</v>
      </c>
      <c r="F19" s="28">
        <f>IFERROR(_xlfn.MAXIFS(Projektplan!$F$7:$F$40,Projektplan!$B$7:$B$40,$B19),"")</f>
        <v>46192</v>
      </c>
      <c r="G19" s="29">
        <f>SUMIF(Projektplan!$B$7:$B$40,$B19,Projektplan!$J$7:$J$40)</f>
        <v>250</v>
      </c>
      <c r="H19" s="29">
        <f>SUMIF(Projektplan!$B$7:$B$40,$B19,Projektplan!$K$7:$K$40)</f>
        <v>260</v>
      </c>
      <c r="I19" s="30">
        <f t="shared" si="0"/>
        <v>10</v>
      </c>
    </row>
    <row r="20" spans="2:9" ht="18" customHeight="1" x14ac:dyDescent="0.25">
      <c r="B20" s="19" t="s">
        <v>39</v>
      </c>
      <c r="C20" s="20">
        <f>COUNTIF(Projektplan!$B$7:$B$40,$B20)</f>
        <v>6</v>
      </c>
      <c r="D20" s="21">
        <f>IFERROR(SUMPRODUCT((Projektplan!$B$7:$B$40=$B20)*Projektplan!$H$7:$H$40*Projektplan!$J$7:$J$40)/SUMIF(Projektplan!$B$7:$B$40,$B20,Projektplan!$J$7:$J$40),0)</f>
        <v>0.86061946902654862</v>
      </c>
      <c r="E20" s="22">
        <f>IFERROR(_xlfn.MINIFS(Projektplan!$E$7:$E$40,Projektplan!$B$7:$B$40,$B20),"")</f>
        <v>46195</v>
      </c>
      <c r="F20" s="22">
        <f>IFERROR(_xlfn.MAXIFS(Projektplan!$F$7:$F$40,Projektplan!$B$7:$B$40,$B20),"")</f>
        <v>46269</v>
      </c>
      <c r="G20" s="23">
        <f>SUMIF(Projektplan!$B$7:$B$40,$B20,Projektplan!$J$7:$J$40)</f>
        <v>452</v>
      </c>
      <c r="H20" s="23">
        <f>SUMIF(Projektplan!$B$7:$B$40,$B20,Projektplan!$K$7:$K$40)</f>
        <v>415</v>
      </c>
      <c r="I20" s="24">
        <f t="shared" si="0"/>
        <v>-37</v>
      </c>
    </row>
    <row r="21" spans="2:9" ht="18" customHeight="1" x14ac:dyDescent="0.25">
      <c r="B21" s="25" t="s">
        <v>40</v>
      </c>
      <c r="C21" s="26">
        <f>COUNTIF(Projektplan!$B$7:$B$40,$B21)</f>
        <v>5</v>
      </c>
      <c r="D21" s="27">
        <f>IFERROR(SUMPRODUCT((Projektplan!$B$7:$B$40=$B21)*Projektplan!$H$7:$H$40*Projektplan!$J$7:$J$40)/SUMIF(Projektplan!$B$7:$B$40,$B21,Projektplan!$J$7:$J$40),0)</f>
        <v>7.3684210526315783E-2</v>
      </c>
      <c r="E21" s="28">
        <f>IFERROR(_xlfn.MINIFS(Projektplan!$E$7:$E$40,Projektplan!$B$7:$B$40,$B21),"")</f>
        <v>46251</v>
      </c>
      <c r="F21" s="28">
        <f>IFERROR(_xlfn.MAXIFS(Projektplan!$F$7:$F$40,Projektplan!$B$7:$B$40,$B21),"")</f>
        <v>46307</v>
      </c>
      <c r="G21" s="29">
        <f>SUMIF(Projektplan!$B$7:$B$40,$B21,Projektplan!$J$7:$J$40)</f>
        <v>228</v>
      </c>
      <c r="H21" s="29">
        <f>SUMIF(Projektplan!$B$7:$B$40,$B21,Projektplan!$K$7:$K$40)</f>
        <v>18</v>
      </c>
      <c r="I21" s="30">
        <f t="shared" si="0"/>
        <v>-210</v>
      </c>
    </row>
    <row r="22" spans="2:9" ht="18" customHeight="1" x14ac:dyDescent="0.25">
      <c r="B22" s="19" t="s">
        <v>41</v>
      </c>
      <c r="C22" s="20">
        <f>COUNTIF(Projektplan!$B$7:$B$40,$B22)</f>
        <v>6</v>
      </c>
      <c r="D22" s="21">
        <f>IFERROR(SUMPRODUCT((Projektplan!$B$7:$B$40=$B22)*Projektplan!$H$7:$H$40*Projektplan!$J$7:$J$40)/SUMIF(Projektplan!$B$7:$B$40,$B22,Projektplan!$J$7:$J$40),0)</f>
        <v>0</v>
      </c>
      <c r="E22" s="22">
        <f>IFERROR(_xlfn.MINIFS(Projektplan!$E$7:$E$40,Projektplan!$B$7:$B$40,$B22),"")</f>
        <v>46308</v>
      </c>
      <c r="F22" s="22">
        <f>IFERROR(_xlfn.MAXIFS(Projektplan!$F$7:$F$40,Projektplan!$B$7:$B$40,$B22),"")</f>
        <v>46332</v>
      </c>
      <c r="G22" s="23">
        <f>SUMIF(Projektplan!$B$7:$B$40,$B22,Projektplan!$J$7:$J$40)</f>
        <v>160</v>
      </c>
      <c r="H22" s="23">
        <f>SUMIF(Projektplan!$B$7:$B$40,$B22,Projektplan!$K$7:$K$40)</f>
        <v>0</v>
      </c>
      <c r="I22" s="24">
        <f t="shared" si="0"/>
        <v>-160</v>
      </c>
    </row>
    <row r="23" spans="2:9" ht="19.5" customHeight="1" x14ac:dyDescent="0.25">
      <c r="B23" s="31" t="s">
        <v>42</v>
      </c>
      <c r="C23" s="32">
        <f>SUM($C$18:$C$22)</f>
        <v>28</v>
      </c>
      <c r="D23" s="33">
        <f>Projektplan!$H$41</f>
        <v>0.6230902777777777</v>
      </c>
      <c r="E23" s="34">
        <f>MIN($E$18:$E$22)</f>
        <v>46125</v>
      </c>
      <c r="F23" s="34">
        <f>MAX($F$18:$F$22)</f>
        <v>46332</v>
      </c>
      <c r="G23" s="35">
        <f>SUM($G$18:$G$22)</f>
        <v>1152</v>
      </c>
      <c r="H23" s="35">
        <f>SUM($H$18:$H$22)</f>
        <v>756</v>
      </c>
      <c r="I23" s="36">
        <f t="shared" si="0"/>
        <v>-396</v>
      </c>
    </row>
    <row r="24" spans="2:9" ht="12" customHeight="1" x14ac:dyDescent="0.25"/>
    <row r="25" spans="2:9" ht="18" customHeight="1" x14ac:dyDescent="0.25">
      <c r="B25" s="12" t="s">
        <v>43</v>
      </c>
      <c r="C25" s="12"/>
      <c r="D25" s="12"/>
      <c r="E25" s="12"/>
    </row>
    <row r="26" spans="2:9" ht="19.5" customHeight="1" x14ac:dyDescent="0.25">
      <c r="B26" s="17" t="s">
        <v>44</v>
      </c>
      <c r="C26" s="18" t="s">
        <v>45</v>
      </c>
      <c r="D26" s="18" t="s">
        <v>46</v>
      </c>
      <c r="E26" s="18" t="s">
        <v>34</v>
      </c>
    </row>
    <row r="27" spans="2:9" ht="18" customHeight="1" x14ac:dyDescent="0.25">
      <c r="B27" s="37" t="s">
        <v>17</v>
      </c>
      <c r="C27" s="20">
        <f>COUNTIF(Projektplan!$I$7:$I$40,$B27)</f>
        <v>10</v>
      </c>
      <c r="D27" s="21">
        <f>IFERROR($C27/$C$31,0)</f>
        <v>0.35714285714285715</v>
      </c>
      <c r="E27" s="23">
        <f>SUMIF(Projektplan!$I$7:$I$40,$B27,Projektplan!$J$7:$J$40)</f>
        <v>284</v>
      </c>
    </row>
    <row r="28" spans="2:9" ht="18" customHeight="1" x14ac:dyDescent="0.25">
      <c r="B28" s="38" t="s">
        <v>16</v>
      </c>
      <c r="C28" s="26">
        <f>COUNTIF(Projektplan!$I$7:$I$40,$B28)</f>
        <v>3</v>
      </c>
      <c r="D28" s="27">
        <f>IFERROR($C28/$C$31,0)</f>
        <v>0.10714285714285714</v>
      </c>
      <c r="E28" s="29">
        <f>SUMIF(Projektplan!$I$7:$I$40,$B28,Projektplan!$J$7:$J$40)</f>
        <v>308</v>
      </c>
    </row>
    <row r="29" spans="2:9" ht="18" customHeight="1" x14ac:dyDescent="0.25">
      <c r="B29" s="37" t="s">
        <v>15</v>
      </c>
      <c r="C29" s="20">
        <f>COUNTIF(Projektplan!$I$7:$I$40,$B29)</f>
        <v>14</v>
      </c>
      <c r="D29" s="21">
        <f>IFERROR($C29/$C$31,0)</f>
        <v>0.5</v>
      </c>
      <c r="E29" s="23">
        <f>SUMIF(Projektplan!$I$7:$I$40,$B29,Projektplan!$J$7:$J$40)</f>
        <v>500</v>
      </c>
    </row>
    <row r="30" spans="2:9" ht="18" customHeight="1" x14ac:dyDescent="0.25">
      <c r="B30" s="38" t="s">
        <v>22</v>
      </c>
      <c r="C30" s="26">
        <f>COUNTIF(Projektplan!$I$7:$I$40,$B30)</f>
        <v>1</v>
      </c>
      <c r="D30" s="27">
        <f>IFERROR($C30/$C$31,0)</f>
        <v>3.5714285714285712E-2</v>
      </c>
      <c r="E30" s="29">
        <f>SUMIF(Projektplan!$I$7:$I$40,$B30,Projektplan!$J$7:$J$40)</f>
        <v>60</v>
      </c>
    </row>
    <row r="31" spans="2:9" ht="19.5" customHeight="1" x14ac:dyDescent="0.25">
      <c r="B31" s="31" t="s">
        <v>42</v>
      </c>
      <c r="C31" s="32">
        <f>SUM($C$27:$C$30)</f>
        <v>28</v>
      </c>
      <c r="D31" s="33">
        <f>SUM($D$27:$D$30)</f>
        <v>1</v>
      </c>
      <c r="E31" s="35">
        <f>SUM($E$27:$E$30)</f>
        <v>1152</v>
      </c>
    </row>
    <row r="33" spans="2:12" ht="18" customHeight="1" x14ac:dyDescent="0.25">
      <c r="B33" s="12" t="s">
        <v>47</v>
      </c>
      <c r="C33" s="12"/>
      <c r="D33" s="12"/>
      <c r="E33" s="12"/>
    </row>
    <row r="34" spans="2:12" ht="15.75" customHeight="1" x14ac:dyDescent="0.25">
      <c r="B34" s="39" t="s">
        <v>48</v>
      </c>
      <c r="C34" s="70" t="s">
        <v>49</v>
      </c>
      <c r="D34" s="70"/>
      <c r="E34" s="70"/>
    </row>
    <row r="35" spans="2:12" ht="15.75" customHeight="1" x14ac:dyDescent="0.25">
      <c r="B35" s="40" t="s">
        <v>50</v>
      </c>
      <c r="C35" s="70" t="s">
        <v>51</v>
      </c>
      <c r="D35" s="70"/>
      <c r="E35" s="70"/>
    </row>
    <row r="36" spans="2:12" ht="15.75" customHeight="1" x14ac:dyDescent="0.25">
      <c r="B36" s="41" t="s">
        <v>52</v>
      </c>
      <c r="C36" s="70" t="s">
        <v>53</v>
      </c>
      <c r="D36" s="70"/>
      <c r="E36" s="70"/>
    </row>
    <row r="37" spans="2:12" ht="15.75" customHeight="1" x14ac:dyDescent="0.25">
      <c r="B37" s="42" t="s">
        <v>21</v>
      </c>
      <c r="C37" s="70" t="s">
        <v>54</v>
      </c>
      <c r="D37" s="70"/>
      <c r="E37" s="70"/>
    </row>
    <row r="38" spans="2:12" ht="15.75" customHeight="1" x14ac:dyDescent="0.25">
      <c r="B38" s="42" t="s">
        <v>22</v>
      </c>
      <c r="C38" s="70" t="s">
        <v>55</v>
      </c>
      <c r="D38" s="70"/>
      <c r="E38" s="70"/>
    </row>
    <row r="39" spans="2:12" ht="15.75" customHeight="1" x14ac:dyDescent="0.25">
      <c r="B39" s="40" t="s">
        <v>56</v>
      </c>
      <c r="C39" s="70" t="s">
        <v>57</v>
      </c>
      <c r="D39" s="70"/>
      <c r="E39" s="70"/>
    </row>
    <row r="40" spans="2:12" ht="12" customHeight="1" x14ac:dyDescent="0.25"/>
    <row r="41" spans="2:12" ht="18" customHeight="1" x14ac:dyDescent="0.25">
      <c r="B41" s="71" t="s">
        <v>58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2:12" ht="15" customHeight="1" x14ac:dyDescent="0.25">
      <c r="B42" s="72" t="s">
        <v>59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</row>
    <row r="43" spans="2:12" ht="15" customHeight="1" x14ac:dyDescent="0.25">
      <c r="B43" s="73" t="s">
        <v>60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2:12" ht="15" customHeight="1" x14ac:dyDescent="0.25">
      <c r="B44" s="72" t="s">
        <v>61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</row>
    <row r="45" spans="2:12" ht="15" customHeight="1" x14ac:dyDescent="0.25">
      <c r="B45" s="73" t="s">
        <v>62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</row>
    <row r="46" spans="2:12" ht="15" customHeight="1" x14ac:dyDescent="0.25">
      <c r="B46" s="72" t="s">
        <v>63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</row>
    <row r="47" spans="2:12" ht="15" customHeight="1" x14ac:dyDescent="0.25">
      <c r="B47" s="73" t="s">
        <v>64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</row>
    <row r="48" spans="2:12" ht="15" customHeight="1" x14ac:dyDescent="0.25">
      <c r="B48" s="72" t="s">
        <v>65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</row>
  </sheetData>
  <mergeCells count="49">
    <mergeCell ref="B44:L44"/>
    <mergeCell ref="B45:L45"/>
    <mergeCell ref="B46:L46"/>
    <mergeCell ref="B47:L47"/>
    <mergeCell ref="B48:L48"/>
    <mergeCell ref="C38:E38"/>
    <mergeCell ref="C39:E39"/>
    <mergeCell ref="B41:L41"/>
    <mergeCell ref="B42:L42"/>
    <mergeCell ref="B43:L43"/>
    <mergeCell ref="B33:E33"/>
    <mergeCell ref="C34:E34"/>
    <mergeCell ref="C35:E35"/>
    <mergeCell ref="C36:E36"/>
    <mergeCell ref="C37:E37"/>
    <mergeCell ref="C12:E12"/>
    <mergeCell ref="C13:E13"/>
    <mergeCell ref="C14:E14"/>
    <mergeCell ref="B16:I16"/>
    <mergeCell ref="B25:E25"/>
    <mergeCell ref="C10:E10"/>
    <mergeCell ref="G10:H10"/>
    <mergeCell ref="I10:J10"/>
    <mergeCell ref="K10:L10"/>
    <mergeCell ref="C11:E11"/>
    <mergeCell ref="C8:E8"/>
    <mergeCell ref="G8:H8"/>
    <mergeCell ref="I8:J8"/>
    <mergeCell ref="K8:L8"/>
    <mergeCell ref="C9:E9"/>
    <mergeCell ref="G9:H9"/>
    <mergeCell ref="I9:J9"/>
    <mergeCell ref="K9:L9"/>
    <mergeCell ref="C6:E6"/>
    <mergeCell ref="G6:H6"/>
    <mergeCell ref="I6:J6"/>
    <mergeCell ref="K6:L6"/>
    <mergeCell ref="C7:E7"/>
    <mergeCell ref="G7:H7"/>
    <mergeCell ref="I7:J7"/>
    <mergeCell ref="K7:L7"/>
    <mergeCell ref="A1:L1"/>
    <mergeCell ref="A2:L2"/>
    <mergeCell ref="B4:E4"/>
    <mergeCell ref="G4:L4"/>
    <mergeCell ref="C5:E5"/>
    <mergeCell ref="G5:H5"/>
    <mergeCell ref="I5:J5"/>
    <mergeCell ref="K5:L5"/>
  </mergeCells>
  <conditionalFormatting sqref="C14:E14">
    <cfRule type="expression" dxfId="19" priority="2">
      <formula>$C$14="Kritisch"</formula>
    </cfRule>
    <cfRule type="expression" dxfId="18" priority="3">
      <formula>$C$14="Beobachten"</formula>
    </cfRule>
    <cfRule type="expression" dxfId="17" priority="4">
      <formula>$C$14="Im Plan"</formula>
    </cfRule>
  </conditionalFormatting>
  <conditionalFormatting sqref="D18:D22">
    <cfRule type="dataBar" priority="5">
      <dataBar>
        <cfvo type="num" val="0"/>
        <cfvo type="num" val="1"/>
        <color rgb="FF1F3864"/>
      </dataBar>
      <extLst>
        <ext xmlns:x14="http://schemas.microsoft.com/office/spreadsheetml/2009/9/main" uri="{B025F937-C7B1-47D3-B67F-A62EFF666E3E}">
          <x14:id>{37C62031-90E5-4EC1-8E47-D89DA46AE2F4}</x14:id>
        </ext>
      </extLst>
    </cfRule>
  </conditionalFormatting>
  <conditionalFormatting sqref="D27:D30">
    <cfRule type="dataBar" priority="6">
      <dataBar>
        <cfvo type="num" val="0"/>
        <cfvo type="num" val="1"/>
        <color rgb="FF2E5C8A"/>
      </dataBar>
      <extLst>
        <ext xmlns:x14="http://schemas.microsoft.com/office/spreadsheetml/2009/9/main" uri="{B025F937-C7B1-47D3-B67F-A62EFF666E3E}">
          <x14:id>{FFEA2BCD-BBBD-4AF0-809A-B62F27F5D374}</x14:id>
        </ext>
      </extLst>
    </cfRule>
  </conditionalFormatting>
  <pageMargins left="0.75" right="0.75" top="1" bottom="1" header="0.511811023622047" footer="0.511811023622047"/>
  <pageSetup fitToHeight="0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C62031-90E5-4EC1-8E47-D89DA46AE2F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F3864"/>
            </x14:dataBar>
          </x14:cfRule>
          <xm:sqref>D18:D22</xm:sqref>
        </x14:conditionalFormatting>
        <x14:conditionalFormatting xmlns:xm="http://schemas.microsoft.com/office/excel/2006/main">
          <x14:cfRule type="dataBar" id="{FFEA2BCD-BBBD-4AF0-809A-B62F27F5D37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5C8A"/>
            </x14:dataBar>
          </x14:cfRule>
          <xm:sqref>D27:D30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  <pageSetUpPr fitToPage="1"/>
  </sheetPr>
  <dimension ref="A1:AR41"/>
  <sheetViews>
    <sheetView showGridLines="0" zoomScaleNormal="100" workbookViewId="0">
      <pane xSplit="12" ySplit="6" topLeftCell="M7" activePane="bottomRight" state="frozen"/>
      <selection pane="topRight" activeCell="M1" sqref="M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5.5703125" customWidth="1"/>
    <col min="2" max="2" width="18" customWidth="1"/>
    <col min="3" max="3" width="40" customWidth="1"/>
    <col min="4" max="4" width="15" customWidth="1"/>
    <col min="5" max="6" width="11" customWidth="1"/>
    <col min="7" max="7" width="8.42578125" customWidth="1"/>
    <col min="8" max="8" width="10" customWidth="1"/>
    <col min="9" max="9" width="15" customWidth="1"/>
    <col min="10" max="11" width="9.5703125" customWidth="1"/>
    <col min="12" max="12" width="13.42578125" customWidth="1"/>
    <col min="13" max="44" width="4.42578125" customWidth="1"/>
  </cols>
  <sheetData>
    <row r="1" spans="1:44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ht="19.5" customHeight="1" x14ac:dyDescent="0.25">
      <c r="A2" s="13" t="str">
        <f ca="1">"Projekt: "&amp;Übersicht!$C$5&amp;"     |     Projektnummer: "&amp;Übersicht!$C$6&amp;"     |     Projektleitung: "&amp;Übersicht!$C$8&amp;"     |     Stand: "&amp;TEXT(TODAY(),"DD.MM.YYYY")</f>
        <v>Projekt: Musterprojekt 2026     |     Projektnummer: PRJ-2026-001     |     Projektleitung: M. Berger     |     Stand: 21.08.YYYY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</row>
    <row r="3" spans="1:44" ht="21.75" customHeight="1" x14ac:dyDescent="0.25">
      <c r="A3" s="74" t="s">
        <v>66</v>
      </c>
      <c r="B3" s="74"/>
      <c r="C3" s="43">
        <v>46118</v>
      </c>
      <c r="D3" s="44" t="s">
        <v>67</v>
      </c>
      <c r="E3" s="45">
        <f ca="1">TODAY()</f>
        <v>46255</v>
      </c>
      <c r="F3" s="75" t="s">
        <v>68</v>
      </c>
      <c r="G3" s="75"/>
      <c r="H3" s="75"/>
      <c r="I3" s="75"/>
      <c r="J3" s="75"/>
      <c r="K3" s="75"/>
      <c r="L3" s="75"/>
      <c r="M3" s="76" t="s">
        <v>69</v>
      </c>
      <c r="N3" s="76"/>
      <c r="O3" s="76"/>
      <c r="P3" s="76"/>
      <c r="Q3" s="77" t="s">
        <v>70</v>
      </c>
      <c r="R3" s="77"/>
      <c r="S3" s="77"/>
      <c r="T3" s="77"/>
      <c r="U3" s="78" t="s">
        <v>22</v>
      </c>
      <c r="V3" s="78"/>
      <c r="W3" s="78"/>
      <c r="X3" s="78"/>
      <c r="Y3" s="79" t="s">
        <v>71</v>
      </c>
      <c r="Z3" s="79"/>
      <c r="AA3" s="79"/>
      <c r="AB3" s="79"/>
      <c r="AC3" s="80" t="s">
        <v>72</v>
      </c>
      <c r="AD3" s="80"/>
      <c r="AE3" s="80"/>
      <c r="AF3" s="80"/>
    </row>
    <row r="4" spans="1:44" ht="6.75" customHeight="1" x14ac:dyDescent="0.25"/>
    <row r="5" spans="1:44" ht="18" customHeight="1" x14ac:dyDescent="0.25">
      <c r="A5" s="71" t="s">
        <v>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47" t="str">
        <f>INDEX(Konfiguration!$M$18:$M$29,MONTH($C$3+(COLUMN()-13)*7))</f>
        <v>Apr</v>
      </c>
      <c r="N5" s="47" t="str">
        <f>INDEX(Konfiguration!$M$18:$M$29,MONTH($C$3+(COLUMN()-13)*7))</f>
        <v>Apr</v>
      </c>
      <c r="O5" s="47" t="str">
        <f>INDEX(Konfiguration!$M$18:$M$29,MONTH($C$3+(COLUMN()-13)*7))</f>
        <v>Apr</v>
      </c>
      <c r="P5" s="47" t="str">
        <f>INDEX(Konfiguration!$M$18:$M$29,MONTH($C$3+(COLUMN()-13)*7))</f>
        <v>Apr</v>
      </c>
      <c r="Q5" s="47" t="str">
        <f>INDEX(Konfiguration!$M$18:$M$29,MONTH($C$3+(COLUMN()-13)*7))</f>
        <v>Mai</v>
      </c>
      <c r="R5" s="47" t="str">
        <f>INDEX(Konfiguration!$M$18:$M$29,MONTH($C$3+(COLUMN()-13)*7))</f>
        <v>Mai</v>
      </c>
      <c r="S5" s="47" t="str">
        <f>INDEX(Konfiguration!$M$18:$M$29,MONTH($C$3+(COLUMN()-13)*7))</f>
        <v>Mai</v>
      </c>
      <c r="T5" s="47" t="str">
        <f>INDEX(Konfiguration!$M$18:$M$29,MONTH($C$3+(COLUMN()-13)*7))</f>
        <v>Mai</v>
      </c>
      <c r="U5" s="47" t="str">
        <f>INDEX(Konfiguration!$M$18:$M$29,MONTH($C$3+(COLUMN()-13)*7))</f>
        <v>Jun</v>
      </c>
      <c r="V5" s="47" t="str">
        <f>INDEX(Konfiguration!$M$18:$M$29,MONTH($C$3+(COLUMN()-13)*7))</f>
        <v>Jun</v>
      </c>
      <c r="W5" s="47" t="str">
        <f>INDEX(Konfiguration!$M$18:$M$29,MONTH($C$3+(COLUMN()-13)*7))</f>
        <v>Jun</v>
      </c>
      <c r="X5" s="47" t="str">
        <f>INDEX(Konfiguration!$M$18:$M$29,MONTH($C$3+(COLUMN()-13)*7))</f>
        <v>Jun</v>
      </c>
      <c r="Y5" s="47" t="str">
        <f>INDEX(Konfiguration!$M$18:$M$29,MONTH($C$3+(COLUMN()-13)*7))</f>
        <v>Jun</v>
      </c>
      <c r="Z5" s="47" t="str">
        <f>INDEX(Konfiguration!$M$18:$M$29,MONTH($C$3+(COLUMN()-13)*7))</f>
        <v>Jul</v>
      </c>
      <c r="AA5" s="47" t="str">
        <f>INDEX(Konfiguration!$M$18:$M$29,MONTH($C$3+(COLUMN()-13)*7))</f>
        <v>Jul</v>
      </c>
      <c r="AB5" s="47" t="str">
        <f>INDEX(Konfiguration!$M$18:$M$29,MONTH($C$3+(COLUMN()-13)*7))</f>
        <v>Jul</v>
      </c>
      <c r="AC5" s="47" t="str">
        <f>INDEX(Konfiguration!$M$18:$M$29,MONTH($C$3+(COLUMN()-13)*7))</f>
        <v>Jul</v>
      </c>
      <c r="AD5" s="47" t="str">
        <f>INDEX(Konfiguration!$M$18:$M$29,MONTH($C$3+(COLUMN()-13)*7))</f>
        <v>Aug</v>
      </c>
      <c r="AE5" s="47" t="str">
        <f>INDEX(Konfiguration!$M$18:$M$29,MONTH($C$3+(COLUMN()-13)*7))</f>
        <v>Aug</v>
      </c>
      <c r="AF5" s="47" t="str">
        <f>INDEX(Konfiguration!$M$18:$M$29,MONTH($C$3+(COLUMN()-13)*7))</f>
        <v>Aug</v>
      </c>
      <c r="AG5" s="47" t="str">
        <f>INDEX(Konfiguration!$M$18:$M$29,MONTH($C$3+(COLUMN()-13)*7))</f>
        <v>Aug</v>
      </c>
      <c r="AH5" s="47" t="str">
        <f>INDEX(Konfiguration!$M$18:$M$29,MONTH($C$3+(COLUMN()-13)*7))</f>
        <v>Aug</v>
      </c>
      <c r="AI5" s="47" t="str">
        <f>INDEX(Konfiguration!$M$18:$M$29,MONTH($C$3+(COLUMN()-13)*7))</f>
        <v>Sep</v>
      </c>
      <c r="AJ5" s="47" t="str">
        <f>INDEX(Konfiguration!$M$18:$M$29,MONTH($C$3+(COLUMN()-13)*7))</f>
        <v>Sep</v>
      </c>
      <c r="AK5" s="47" t="str">
        <f>INDEX(Konfiguration!$M$18:$M$29,MONTH($C$3+(COLUMN()-13)*7))</f>
        <v>Sep</v>
      </c>
      <c r="AL5" s="47" t="str">
        <f>INDEX(Konfiguration!$M$18:$M$29,MONTH($C$3+(COLUMN()-13)*7))</f>
        <v>Sep</v>
      </c>
      <c r="AM5" s="47" t="str">
        <f>INDEX(Konfiguration!$M$18:$M$29,MONTH($C$3+(COLUMN()-13)*7))</f>
        <v>Okt</v>
      </c>
      <c r="AN5" s="47" t="str">
        <f>INDEX(Konfiguration!$M$18:$M$29,MONTH($C$3+(COLUMN()-13)*7))</f>
        <v>Okt</v>
      </c>
      <c r="AO5" s="47" t="str">
        <f>INDEX(Konfiguration!$M$18:$M$29,MONTH($C$3+(COLUMN()-13)*7))</f>
        <v>Okt</v>
      </c>
      <c r="AP5" s="47" t="str">
        <f>INDEX(Konfiguration!$M$18:$M$29,MONTH($C$3+(COLUMN()-13)*7))</f>
        <v>Okt</v>
      </c>
      <c r="AQ5" s="47" t="str">
        <f>INDEX(Konfiguration!$M$18:$M$29,MONTH($C$3+(COLUMN()-13)*7))</f>
        <v>Nov</v>
      </c>
      <c r="AR5" s="47" t="str">
        <f>INDEX(Konfiguration!$M$18:$M$29,MONTH($C$3+(COLUMN()-13)*7))</f>
        <v>Nov</v>
      </c>
    </row>
    <row r="6" spans="1:44" ht="31.5" customHeight="1" x14ac:dyDescent="0.25">
      <c r="A6" s="48" t="s">
        <v>74</v>
      </c>
      <c r="B6" s="48" t="s">
        <v>29</v>
      </c>
      <c r="C6" s="48" t="s">
        <v>75</v>
      </c>
      <c r="D6" s="48" t="s">
        <v>76</v>
      </c>
      <c r="E6" s="48" t="s">
        <v>32</v>
      </c>
      <c r="F6" s="48" t="s">
        <v>33</v>
      </c>
      <c r="G6" s="48" t="s">
        <v>77</v>
      </c>
      <c r="H6" s="48" t="s">
        <v>78</v>
      </c>
      <c r="I6" s="48" t="s">
        <v>44</v>
      </c>
      <c r="J6" s="48" t="s">
        <v>79</v>
      </c>
      <c r="K6" s="48" t="s">
        <v>80</v>
      </c>
      <c r="L6" s="48" t="s">
        <v>81</v>
      </c>
      <c r="M6" s="49" t="str">
        <f t="shared" ref="M6:AR6" si="0">"KW "&amp;WEEKNUM($C$3+(COLUMN()-13)*7,21)&amp;CHAR(10)&amp;TEXT($C$3+(COLUMN()-13)*7,"DD.MM.")</f>
        <v>KW 15
06.04.</v>
      </c>
      <c r="N6" s="49" t="str">
        <f t="shared" si="0"/>
        <v>KW 16
13.04.</v>
      </c>
      <c r="O6" s="49" t="str">
        <f t="shared" si="0"/>
        <v>KW 17
20.04.</v>
      </c>
      <c r="P6" s="49" t="str">
        <f t="shared" si="0"/>
        <v>KW 18
27.04.</v>
      </c>
      <c r="Q6" s="49" t="str">
        <f t="shared" si="0"/>
        <v>KW 19
04.05.</v>
      </c>
      <c r="R6" s="49" t="str">
        <f t="shared" si="0"/>
        <v>KW 20
11.05.</v>
      </c>
      <c r="S6" s="49" t="str">
        <f t="shared" si="0"/>
        <v>KW 21
18.05.</v>
      </c>
      <c r="T6" s="49" t="str">
        <f t="shared" si="0"/>
        <v>KW 22
25.05.</v>
      </c>
      <c r="U6" s="49" t="str">
        <f t="shared" si="0"/>
        <v>KW 23
01.06.</v>
      </c>
      <c r="V6" s="49" t="str">
        <f t="shared" si="0"/>
        <v>KW 24
08.06.</v>
      </c>
      <c r="W6" s="49" t="str">
        <f t="shared" si="0"/>
        <v>KW 25
15.06.</v>
      </c>
      <c r="X6" s="49" t="str">
        <f t="shared" si="0"/>
        <v>KW 26
22.06.</v>
      </c>
      <c r="Y6" s="49" t="str">
        <f t="shared" si="0"/>
        <v>KW 27
29.06.</v>
      </c>
      <c r="Z6" s="49" t="str">
        <f t="shared" si="0"/>
        <v>KW 28
06.07.</v>
      </c>
      <c r="AA6" s="49" t="str">
        <f t="shared" si="0"/>
        <v>KW 29
13.07.</v>
      </c>
      <c r="AB6" s="49" t="str">
        <f t="shared" si="0"/>
        <v>KW 30
20.07.</v>
      </c>
      <c r="AC6" s="49" t="str">
        <f t="shared" si="0"/>
        <v>KW 31
27.07.</v>
      </c>
      <c r="AD6" s="49" t="str">
        <f t="shared" si="0"/>
        <v>KW 32
03.08.</v>
      </c>
      <c r="AE6" s="49" t="str">
        <f t="shared" si="0"/>
        <v>KW 33
10.08.</v>
      </c>
      <c r="AF6" s="49" t="str">
        <f t="shared" si="0"/>
        <v>KW 34
17.08.</v>
      </c>
      <c r="AG6" s="49" t="str">
        <f t="shared" si="0"/>
        <v>KW 35
24.08.</v>
      </c>
      <c r="AH6" s="49" t="str">
        <f t="shared" si="0"/>
        <v>KW 36
31.08.</v>
      </c>
      <c r="AI6" s="49" t="str">
        <f t="shared" si="0"/>
        <v>KW 37
07.09.</v>
      </c>
      <c r="AJ6" s="49" t="str">
        <f t="shared" si="0"/>
        <v>KW 38
14.09.</v>
      </c>
      <c r="AK6" s="49" t="str">
        <f t="shared" si="0"/>
        <v>KW 39
21.09.</v>
      </c>
      <c r="AL6" s="49" t="str">
        <f t="shared" si="0"/>
        <v>KW 40
28.09.</v>
      </c>
      <c r="AM6" s="49" t="str">
        <f t="shared" si="0"/>
        <v>KW 41
05.10.</v>
      </c>
      <c r="AN6" s="49" t="str">
        <f t="shared" si="0"/>
        <v>KW 42
12.10.</v>
      </c>
      <c r="AO6" s="49" t="str">
        <f t="shared" si="0"/>
        <v>KW 43
19.10.</v>
      </c>
      <c r="AP6" s="49" t="str">
        <f t="shared" si="0"/>
        <v>KW 44
26.10.</v>
      </c>
      <c r="AQ6" s="49" t="str">
        <f t="shared" si="0"/>
        <v>KW 45
02.11.</v>
      </c>
      <c r="AR6" s="49" t="str">
        <f t="shared" si="0"/>
        <v>KW 46
09.11.</v>
      </c>
    </row>
    <row r="7" spans="1:44" ht="16.5" customHeight="1" x14ac:dyDescent="0.25">
      <c r="A7" s="50" t="s">
        <v>82</v>
      </c>
      <c r="B7" s="51" t="s">
        <v>37</v>
      </c>
      <c r="C7" s="52" t="s">
        <v>83</v>
      </c>
      <c r="D7" s="51" t="s">
        <v>14</v>
      </c>
      <c r="E7" s="53">
        <v>46125</v>
      </c>
      <c r="F7" s="53">
        <v>46129</v>
      </c>
      <c r="G7" s="54">
        <f>IF(OR($E7="",$F7=""),"",NETWORKDAYS($E7,$F7,Konfiguration!$J$4:$J$12))</f>
        <v>5</v>
      </c>
      <c r="H7" s="55">
        <v>1</v>
      </c>
      <c r="I7" s="56" t="s">
        <v>15</v>
      </c>
      <c r="J7" s="57">
        <v>16</v>
      </c>
      <c r="K7" s="57">
        <v>18</v>
      </c>
      <c r="L7" s="58" t="str">
        <f t="shared" ref="L7:L40" si="1">IF($C7="","",IF($I7="Abgeschlossen","Erledigt",IF($I7="Blockiert","Blockiert",IF($F7&lt;$E$3,"Überfällig",IF($E7&gt;$E$3,"Geplant",IF($H7+0.1&lt;($E$3-$E7)/MAX(1,$F7-$E7),"Im Verzug","Im Plan"))))))</f>
        <v>Erledigt</v>
      </c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</row>
    <row r="8" spans="1:44" ht="16.5" customHeight="1" x14ac:dyDescent="0.25">
      <c r="A8" s="50" t="s">
        <v>84</v>
      </c>
      <c r="B8" s="51" t="s">
        <v>37</v>
      </c>
      <c r="C8" s="52" t="s">
        <v>85</v>
      </c>
      <c r="D8" s="51" t="s">
        <v>86</v>
      </c>
      <c r="E8" s="53">
        <v>46127</v>
      </c>
      <c r="F8" s="53">
        <v>46134</v>
      </c>
      <c r="G8" s="54">
        <f>IF(OR($E8="",$F8=""),"",NETWORKDAYS($E8,$F8,Konfiguration!$J$4:$J$12))</f>
        <v>6</v>
      </c>
      <c r="H8" s="55">
        <v>1</v>
      </c>
      <c r="I8" s="56" t="s">
        <v>15</v>
      </c>
      <c r="J8" s="57">
        <v>12</v>
      </c>
      <c r="K8" s="57">
        <v>10</v>
      </c>
      <c r="L8" s="58" t="str">
        <f t="shared" si="1"/>
        <v>Erledigt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</row>
    <row r="9" spans="1:44" ht="16.5" customHeight="1" x14ac:dyDescent="0.25">
      <c r="A9" s="50" t="s">
        <v>87</v>
      </c>
      <c r="B9" s="51" t="s">
        <v>37</v>
      </c>
      <c r="C9" s="52" t="s">
        <v>88</v>
      </c>
      <c r="D9" s="51" t="s">
        <v>14</v>
      </c>
      <c r="E9" s="53">
        <v>46132</v>
      </c>
      <c r="F9" s="53">
        <v>46139</v>
      </c>
      <c r="G9" s="54">
        <f>IF(OR($E9="",$F9=""),"",NETWORKDAYS($E9,$F9,Konfiguration!$J$4:$J$12))</f>
        <v>6</v>
      </c>
      <c r="H9" s="55">
        <v>1</v>
      </c>
      <c r="I9" s="56" t="s">
        <v>15</v>
      </c>
      <c r="J9" s="57">
        <v>20</v>
      </c>
      <c r="K9" s="57">
        <v>22</v>
      </c>
      <c r="L9" s="58" t="str">
        <f t="shared" si="1"/>
        <v>Erledigt</v>
      </c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</row>
    <row r="10" spans="1:44" ht="16.5" customHeight="1" x14ac:dyDescent="0.25">
      <c r="A10" s="50" t="s">
        <v>89</v>
      </c>
      <c r="B10" s="51" t="s">
        <v>37</v>
      </c>
      <c r="C10" s="52" t="s">
        <v>90</v>
      </c>
      <c r="D10" s="51" t="s">
        <v>91</v>
      </c>
      <c r="E10" s="53">
        <v>46135</v>
      </c>
      <c r="F10" s="53">
        <v>46142</v>
      </c>
      <c r="G10" s="54">
        <f>IF(OR($E10="",$F10=""),"",NETWORKDAYS($E10,$F10,Konfiguration!$J$4:$J$12))</f>
        <v>6</v>
      </c>
      <c r="H10" s="55">
        <v>1</v>
      </c>
      <c r="I10" s="56" t="s">
        <v>15</v>
      </c>
      <c r="J10" s="57">
        <v>10</v>
      </c>
      <c r="K10" s="57">
        <v>9</v>
      </c>
      <c r="L10" s="58" t="str">
        <f t="shared" si="1"/>
        <v>Erledigt</v>
      </c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</row>
    <row r="11" spans="1:44" ht="16.5" customHeight="1" x14ac:dyDescent="0.25">
      <c r="A11" s="50" t="s">
        <v>92</v>
      </c>
      <c r="B11" s="51" t="s">
        <v>37</v>
      </c>
      <c r="C11" s="60" t="s">
        <v>93</v>
      </c>
      <c r="D11" s="51" t="s">
        <v>14</v>
      </c>
      <c r="E11" s="53">
        <v>46146</v>
      </c>
      <c r="F11" s="53">
        <v>46146</v>
      </c>
      <c r="G11" s="54">
        <f>IF(OR($E11="",$F11=""),"",NETWORKDAYS($E11,$F11,Konfiguration!$J$4:$J$12))</f>
        <v>1</v>
      </c>
      <c r="H11" s="55">
        <v>1</v>
      </c>
      <c r="I11" s="56" t="s">
        <v>15</v>
      </c>
      <c r="J11" s="57">
        <v>4</v>
      </c>
      <c r="K11" s="57">
        <v>4</v>
      </c>
      <c r="L11" s="58" t="str">
        <f t="shared" si="1"/>
        <v>Erledigt</v>
      </c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</row>
    <row r="12" spans="1:44" ht="16.5" customHeight="1" x14ac:dyDescent="0.25">
      <c r="A12" s="50" t="s">
        <v>94</v>
      </c>
      <c r="B12" s="51" t="s">
        <v>38</v>
      </c>
      <c r="C12" s="52" t="s">
        <v>95</v>
      </c>
      <c r="D12" s="51" t="s">
        <v>86</v>
      </c>
      <c r="E12" s="53">
        <v>46147</v>
      </c>
      <c r="F12" s="53">
        <v>46162</v>
      </c>
      <c r="G12" s="54">
        <f>IF(OR($E12="",$F12=""),"",NETWORKDAYS($E12,$F12,Konfiguration!$J$4:$J$12))</f>
        <v>11</v>
      </c>
      <c r="H12" s="55">
        <v>1</v>
      </c>
      <c r="I12" s="56" t="s">
        <v>15</v>
      </c>
      <c r="J12" s="57">
        <v>60</v>
      </c>
      <c r="K12" s="57">
        <v>66</v>
      </c>
      <c r="L12" s="58" t="str">
        <f t="shared" si="1"/>
        <v>Erledigt</v>
      </c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</row>
    <row r="13" spans="1:44" ht="16.5" customHeight="1" x14ac:dyDescent="0.25">
      <c r="A13" s="50" t="s">
        <v>96</v>
      </c>
      <c r="B13" s="51" t="s">
        <v>38</v>
      </c>
      <c r="C13" s="52" t="s">
        <v>97</v>
      </c>
      <c r="D13" s="51" t="s">
        <v>98</v>
      </c>
      <c r="E13" s="53">
        <v>46153</v>
      </c>
      <c r="F13" s="53">
        <v>46164</v>
      </c>
      <c r="G13" s="54">
        <f>IF(OR($E13="",$F13=""),"",NETWORKDAYS($E13,$F13,Konfiguration!$J$4:$J$12))</f>
        <v>9</v>
      </c>
      <c r="H13" s="55">
        <v>1</v>
      </c>
      <c r="I13" s="56" t="s">
        <v>15</v>
      </c>
      <c r="J13" s="57">
        <v>40</v>
      </c>
      <c r="K13" s="57">
        <v>38</v>
      </c>
      <c r="L13" s="58" t="str">
        <f t="shared" si="1"/>
        <v>Erledigt</v>
      </c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</row>
    <row r="14" spans="1:44" ht="16.5" customHeight="1" x14ac:dyDescent="0.25">
      <c r="A14" s="50" t="s">
        <v>99</v>
      </c>
      <c r="B14" s="51" t="s">
        <v>38</v>
      </c>
      <c r="C14" s="52" t="s">
        <v>100</v>
      </c>
      <c r="D14" s="51" t="s">
        <v>91</v>
      </c>
      <c r="E14" s="53">
        <v>46160</v>
      </c>
      <c r="F14" s="53">
        <v>46182</v>
      </c>
      <c r="G14" s="54">
        <f>IF(OR($E14="",$F14=""),"",NETWORKDAYS($E14,$F14,Konfiguration!$J$4:$J$12))</f>
        <v>16</v>
      </c>
      <c r="H14" s="55">
        <v>1</v>
      </c>
      <c r="I14" s="56" t="s">
        <v>15</v>
      </c>
      <c r="J14" s="57">
        <v>90</v>
      </c>
      <c r="K14" s="57">
        <v>96</v>
      </c>
      <c r="L14" s="58" t="str">
        <f t="shared" si="1"/>
        <v>Erledigt</v>
      </c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</row>
    <row r="15" spans="1:44" ht="16.5" customHeight="1" x14ac:dyDescent="0.25">
      <c r="A15" s="50" t="s">
        <v>101</v>
      </c>
      <c r="B15" s="51" t="s">
        <v>38</v>
      </c>
      <c r="C15" s="52" t="s">
        <v>102</v>
      </c>
      <c r="D15" s="51" t="s">
        <v>14</v>
      </c>
      <c r="E15" s="53">
        <v>46175</v>
      </c>
      <c r="F15" s="53">
        <v>46185</v>
      </c>
      <c r="G15" s="54">
        <f>IF(OR($E15="",$F15=""),"",NETWORKDAYS($E15,$F15,Konfiguration!$J$4:$J$12))</f>
        <v>9</v>
      </c>
      <c r="H15" s="55">
        <v>1</v>
      </c>
      <c r="I15" s="56" t="s">
        <v>15</v>
      </c>
      <c r="J15" s="57">
        <v>32</v>
      </c>
      <c r="K15" s="57">
        <v>30</v>
      </c>
      <c r="L15" s="58" t="str">
        <f t="shared" si="1"/>
        <v>Erledigt</v>
      </c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</row>
    <row r="16" spans="1:44" ht="16.5" customHeight="1" x14ac:dyDescent="0.25">
      <c r="A16" s="50" t="s">
        <v>103</v>
      </c>
      <c r="B16" s="51" t="s">
        <v>38</v>
      </c>
      <c r="C16" s="52" t="s">
        <v>104</v>
      </c>
      <c r="D16" s="51" t="s">
        <v>105</v>
      </c>
      <c r="E16" s="53">
        <v>46181</v>
      </c>
      <c r="F16" s="53">
        <v>46190</v>
      </c>
      <c r="G16" s="54">
        <f>IF(OR($E16="",$F16=""),"",NETWORKDAYS($E16,$F16,Konfiguration!$J$4:$J$12))</f>
        <v>8</v>
      </c>
      <c r="H16" s="55">
        <v>1</v>
      </c>
      <c r="I16" s="56" t="s">
        <v>15</v>
      </c>
      <c r="J16" s="57">
        <v>24</v>
      </c>
      <c r="K16" s="57">
        <v>26</v>
      </c>
      <c r="L16" s="58" t="str">
        <f t="shared" si="1"/>
        <v>Erledigt</v>
      </c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</row>
    <row r="17" spans="1:44" ht="16.5" customHeight="1" x14ac:dyDescent="0.25">
      <c r="A17" s="50" t="s">
        <v>106</v>
      </c>
      <c r="B17" s="51" t="s">
        <v>38</v>
      </c>
      <c r="C17" s="60" t="s">
        <v>107</v>
      </c>
      <c r="D17" s="51" t="s">
        <v>14</v>
      </c>
      <c r="E17" s="53">
        <v>46192</v>
      </c>
      <c r="F17" s="53">
        <v>46192</v>
      </c>
      <c r="G17" s="54">
        <f>IF(OR($E17="",$F17=""),"",NETWORKDAYS($E17,$F17,Konfiguration!$J$4:$J$12))</f>
        <v>1</v>
      </c>
      <c r="H17" s="55">
        <v>1</v>
      </c>
      <c r="I17" s="56" t="s">
        <v>15</v>
      </c>
      <c r="J17" s="57">
        <v>4</v>
      </c>
      <c r="K17" s="57">
        <v>4</v>
      </c>
      <c r="L17" s="58" t="str">
        <f t="shared" si="1"/>
        <v>Erledigt</v>
      </c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</row>
    <row r="18" spans="1:44" ht="16.5" customHeight="1" x14ac:dyDescent="0.25">
      <c r="A18" s="50" t="s">
        <v>108</v>
      </c>
      <c r="B18" s="51" t="s">
        <v>39</v>
      </c>
      <c r="C18" s="52" t="s">
        <v>109</v>
      </c>
      <c r="D18" s="51" t="s">
        <v>14</v>
      </c>
      <c r="E18" s="53">
        <v>46195</v>
      </c>
      <c r="F18" s="53">
        <v>46199</v>
      </c>
      <c r="G18" s="54">
        <f>IF(OR($E18="",$F18=""),"",NETWORKDAYS($E18,$F18,Konfiguration!$J$4:$J$12))</f>
        <v>5</v>
      </c>
      <c r="H18" s="55">
        <v>1</v>
      </c>
      <c r="I18" s="56" t="s">
        <v>15</v>
      </c>
      <c r="J18" s="57">
        <v>12</v>
      </c>
      <c r="K18" s="57">
        <v>12</v>
      </c>
      <c r="L18" s="58" t="str">
        <f t="shared" si="1"/>
        <v>Erledigt</v>
      </c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</row>
    <row r="19" spans="1:44" ht="16.5" customHeight="1" x14ac:dyDescent="0.25">
      <c r="A19" s="50" t="s">
        <v>110</v>
      </c>
      <c r="B19" s="51" t="s">
        <v>39</v>
      </c>
      <c r="C19" s="52" t="s">
        <v>111</v>
      </c>
      <c r="D19" s="51" t="s">
        <v>112</v>
      </c>
      <c r="E19" s="53">
        <v>46202</v>
      </c>
      <c r="F19" s="53">
        <v>46241</v>
      </c>
      <c r="G19" s="54">
        <f>IF(OR($E19="",$F19=""),"",NETWORKDAYS($E19,$F19,Konfiguration!$J$4:$J$12))</f>
        <v>30</v>
      </c>
      <c r="H19" s="55">
        <v>1</v>
      </c>
      <c r="I19" s="56" t="s">
        <v>15</v>
      </c>
      <c r="J19" s="57">
        <v>160</v>
      </c>
      <c r="K19" s="57">
        <v>172</v>
      </c>
      <c r="L19" s="58" t="str">
        <f t="shared" si="1"/>
        <v>Erledigt</v>
      </c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</row>
    <row r="20" spans="1:44" ht="16.5" customHeight="1" x14ac:dyDescent="0.25">
      <c r="A20" s="50" t="s">
        <v>113</v>
      </c>
      <c r="B20" s="51" t="s">
        <v>39</v>
      </c>
      <c r="C20" s="52" t="s">
        <v>114</v>
      </c>
      <c r="D20" s="51" t="s">
        <v>98</v>
      </c>
      <c r="E20" s="53">
        <v>46209</v>
      </c>
      <c r="F20" s="53">
        <v>46248</v>
      </c>
      <c r="G20" s="54">
        <f>IF(OR($E20="",$F20=""),"",NETWORKDAYS($E20,$F20,Konfiguration!$J$4:$J$12))</f>
        <v>30</v>
      </c>
      <c r="H20" s="55">
        <v>0.85</v>
      </c>
      <c r="I20" s="56" t="s">
        <v>16</v>
      </c>
      <c r="J20" s="57">
        <v>180</v>
      </c>
      <c r="K20" s="57">
        <v>165</v>
      </c>
      <c r="L20" s="58" t="str">
        <f t="shared" ca="1" si="1"/>
        <v>Überfällig</v>
      </c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</row>
    <row r="21" spans="1:44" ht="16.5" customHeight="1" x14ac:dyDescent="0.25">
      <c r="A21" s="50" t="s">
        <v>115</v>
      </c>
      <c r="B21" s="51" t="s">
        <v>39</v>
      </c>
      <c r="C21" s="52" t="s">
        <v>116</v>
      </c>
      <c r="D21" s="51" t="s">
        <v>117</v>
      </c>
      <c r="E21" s="53">
        <v>46216</v>
      </c>
      <c r="F21" s="53">
        <v>46262</v>
      </c>
      <c r="G21" s="54">
        <f>IF(OR($E21="",$F21=""),"",NETWORKDAYS($E21,$F21,Konfiguration!$J$4:$J$12))</f>
        <v>35</v>
      </c>
      <c r="H21" s="55">
        <v>0.6</v>
      </c>
      <c r="I21" s="56" t="s">
        <v>16</v>
      </c>
      <c r="J21" s="57">
        <v>80</v>
      </c>
      <c r="K21" s="57">
        <v>52</v>
      </c>
      <c r="L21" s="58" t="str">
        <f t="shared" ca="1" si="1"/>
        <v>Im Verzug</v>
      </c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</row>
    <row r="22" spans="1:44" ht="16.5" customHeight="1" x14ac:dyDescent="0.25">
      <c r="A22" s="50" t="s">
        <v>118</v>
      </c>
      <c r="B22" s="51" t="s">
        <v>39</v>
      </c>
      <c r="C22" s="52" t="s">
        <v>119</v>
      </c>
      <c r="D22" s="51" t="s">
        <v>14</v>
      </c>
      <c r="E22" s="53">
        <v>46244</v>
      </c>
      <c r="F22" s="53">
        <v>46248</v>
      </c>
      <c r="G22" s="54">
        <f>IF(OR($E22="",$F22=""),"",NETWORKDAYS($E22,$F22,Konfiguration!$J$4:$J$12))</f>
        <v>5</v>
      </c>
      <c r="H22" s="55">
        <v>1</v>
      </c>
      <c r="I22" s="56" t="s">
        <v>15</v>
      </c>
      <c r="J22" s="57">
        <v>16</v>
      </c>
      <c r="K22" s="57">
        <v>14</v>
      </c>
      <c r="L22" s="58" t="str">
        <f t="shared" si="1"/>
        <v>Erledigt</v>
      </c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</row>
    <row r="23" spans="1:44" ht="16.5" customHeight="1" x14ac:dyDescent="0.25">
      <c r="A23" s="50" t="s">
        <v>120</v>
      </c>
      <c r="B23" s="51" t="s">
        <v>39</v>
      </c>
      <c r="C23" s="60" t="s">
        <v>121</v>
      </c>
      <c r="D23" s="51" t="s">
        <v>14</v>
      </c>
      <c r="E23" s="53">
        <v>46269</v>
      </c>
      <c r="F23" s="53">
        <v>46269</v>
      </c>
      <c r="G23" s="54">
        <f>IF(OR($E23="",$F23=""),"",NETWORKDAYS($E23,$F23,Konfiguration!$J$4:$J$12))</f>
        <v>1</v>
      </c>
      <c r="H23" s="55">
        <v>0</v>
      </c>
      <c r="I23" s="56" t="s">
        <v>17</v>
      </c>
      <c r="J23" s="57">
        <v>4</v>
      </c>
      <c r="K23" s="57">
        <v>0</v>
      </c>
      <c r="L23" s="58" t="str">
        <f t="shared" ca="1" si="1"/>
        <v>Geplant</v>
      </c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</row>
    <row r="24" spans="1:44" ht="16.5" customHeight="1" x14ac:dyDescent="0.25">
      <c r="A24" s="50" t="s">
        <v>122</v>
      </c>
      <c r="B24" s="51" t="s">
        <v>40</v>
      </c>
      <c r="C24" s="52" t="s">
        <v>123</v>
      </c>
      <c r="D24" s="51" t="s">
        <v>124</v>
      </c>
      <c r="E24" s="53">
        <v>46251</v>
      </c>
      <c r="F24" s="53">
        <v>46262</v>
      </c>
      <c r="G24" s="54">
        <f>IF(OR($E24="",$F24=""),"",NETWORKDAYS($E24,$F24,Konfiguration!$J$4:$J$12))</f>
        <v>10</v>
      </c>
      <c r="H24" s="55">
        <v>0.35</v>
      </c>
      <c r="I24" s="56" t="s">
        <v>16</v>
      </c>
      <c r="J24" s="57">
        <v>48</v>
      </c>
      <c r="K24" s="57">
        <v>18</v>
      </c>
      <c r="L24" s="58" t="str">
        <f t="shared" ca="1" si="1"/>
        <v>Im Plan</v>
      </c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</row>
    <row r="25" spans="1:44" ht="16.5" customHeight="1" x14ac:dyDescent="0.25">
      <c r="A25" s="50" t="s">
        <v>125</v>
      </c>
      <c r="B25" s="51" t="s">
        <v>40</v>
      </c>
      <c r="C25" s="52" t="s">
        <v>126</v>
      </c>
      <c r="D25" s="51" t="s">
        <v>124</v>
      </c>
      <c r="E25" s="53">
        <v>46272</v>
      </c>
      <c r="F25" s="53">
        <v>46290</v>
      </c>
      <c r="G25" s="54">
        <f>IF(OR($E25="",$F25=""),"",NETWORKDAYS($E25,$F25,Konfiguration!$J$4:$J$12))</f>
        <v>15</v>
      </c>
      <c r="H25" s="55">
        <v>0</v>
      </c>
      <c r="I25" s="56" t="s">
        <v>17</v>
      </c>
      <c r="J25" s="57">
        <v>100</v>
      </c>
      <c r="K25" s="57">
        <v>0</v>
      </c>
      <c r="L25" s="58" t="str">
        <f t="shared" ca="1" si="1"/>
        <v>Geplant</v>
      </c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</row>
    <row r="26" spans="1:44" ht="16.5" customHeight="1" x14ac:dyDescent="0.25">
      <c r="A26" s="50" t="s">
        <v>127</v>
      </c>
      <c r="B26" s="51" t="s">
        <v>40</v>
      </c>
      <c r="C26" s="52" t="s">
        <v>128</v>
      </c>
      <c r="D26" s="51" t="s">
        <v>112</v>
      </c>
      <c r="E26" s="53">
        <v>46286</v>
      </c>
      <c r="F26" s="53">
        <v>46297</v>
      </c>
      <c r="G26" s="54">
        <f>IF(OR($E26="",$F26=""),"",NETWORKDAYS($E26,$F26,Konfiguration!$J$4:$J$12))</f>
        <v>10</v>
      </c>
      <c r="H26" s="55">
        <v>0</v>
      </c>
      <c r="I26" s="56" t="s">
        <v>22</v>
      </c>
      <c r="J26" s="57">
        <v>60</v>
      </c>
      <c r="K26" s="57">
        <v>0</v>
      </c>
      <c r="L26" s="58" t="str">
        <f t="shared" si="1"/>
        <v>Blockiert</v>
      </c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</row>
    <row r="27" spans="1:44" ht="16.5" customHeight="1" x14ac:dyDescent="0.25">
      <c r="A27" s="50" t="s">
        <v>129</v>
      </c>
      <c r="B27" s="51" t="s">
        <v>40</v>
      </c>
      <c r="C27" s="52" t="s">
        <v>130</v>
      </c>
      <c r="D27" s="51" t="s">
        <v>105</v>
      </c>
      <c r="E27" s="53">
        <v>46300</v>
      </c>
      <c r="F27" s="53">
        <v>46304</v>
      </c>
      <c r="G27" s="54">
        <f>IF(OR($E27="",$F27=""),"",NETWORKDAYS($E27,$F27,Konfiguration!$J$4:$J$12))</f>
        <v>5</v>
      </c>
      <c r="H27" s="55">
        <v>0</v>
      </c>
      <c r="I27" s="56" t="s">
        <v>17</v>
      </c>
      <c r="J27" s="57">
        <v>16</v>
      </c>
      <c r="K27" s="57">
        <v>0</v>
      </c>
      <c r="L27" s="58" t="str">
        <f t="shared" ca="1" si="1"/>
        <v>Geplant</v>
      </c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</row>
    <row r="28" spans="1:44" ht="16.5" customHeight="1" x14ac:dyDescent="0.25">
      <c r="A28" s="50" t="s">
        <v>131</v>
      </c>
      <c r="B28" s="51" t="s">
        <v>40</v>
      </c>
      <c r="C28" s="60" t="s">
        <v>132</v>
      </c>
      <c r="D28" s="51" t="s">
        <v>14</v>
      </c>
      <c r="E28" s="53">
        <v>46307</v>
      </c>
      <c r="F28" s="53">
        <v>46307</v>
      </c>
      <c r="G28" s="54">
        <f>IF(OR($E28="",$F28=""),"",NETWORKDAYS($E28,$F28,Konfiguration!$J$4:$J$12))</f>
        <v>1</v>
      </c>
      <c r="H28" s="55">
        <v>0</v>
      </c>
      <c r="I28" s="56" t="s">
        <v>17</v>
      </c>
      <c r="J28" s="57">
        <v>4</v>
      </c>
      <c r="K28" s="57">
        <v>0</v>
      </c>
      <c r="L28" s="58" t="str">
        <f t="shared" ca="1" si="1"/>
        <v>Geplant</v>
      </c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</row>
    <row r="29" spans="1:44" ht="16.5" customHeight="1" x14ac:dyDescent="0.25">
      <c r="A29" s="50" t="s">
        <v>133</v>
      </c>
      <c r="B29" s="51" t="s">
        <v>41</v>
      </c>
      <c r="C29" s="52" t="s">
        <v>134</v>
      </c>
      <c r="D29" s="51" t="s">
        <v>135</v>
      </c>
      <c r="E29" s="53">
        <v>46308</v>
      </c>
      <c r="F29" s="53">
        <v>46318</v>
      </c>
      <c r="G29" s="54">
        <f>IF(OR($E29="",$F29=""),"",NETWORKDAYS($E29,$F29,Konfiguration!$J$4:$J$12))</f>
        <v>9</v>
      </c>
      <c r="H29" s="55">
        <v>0</v>
      </c>
      <c r="I29" s="56" t="s">
        <v>17</v>
      </c>
      <c r="J29" s="57">
        <v>40</v>
      </c>
      <c r="K29" s="57">
        <v>0</v>
      </c>
      <c r="L29" s="58" t="str">
        <f t="shared" ca="1" si="1"/>
        <v>Geplant</v>
      </c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</row>
    <row r="30" spans="1:44" ht="16.5" customHeight="1" x14ac:dyDescent="0.25">
      <c r="A30" s="50" t="s">
        <v>136</v>
      </c>
      <c r="B30" s="51" t="s">
        <v>41</v>
      </c>
      <c r="C30" s="52" t="s">
        <v>137</v>
      </c>
      <c r="D30" s="51" t="s">
        <v>112</v>
      </c>
      <c r="E30" s="53">
        <v>46321</v>
      </c>
      <c r="F30" s="53">
        <v>46325</v>
      </c>
      <c r="G30" s="54">
        <f>IF(OR($E30="",$F30=""),"",NETWORKDAYS($E30,$F30,Konfiguration!$J$4:$J$12))</f>
        <v>5</v>
      </c>
      <c r="H30" s="55">
        <v>0</v>
      </c>
      <c r="I30" s="56" t="s">
        <v>17</v>
      </c>
      <c r="J30" s="57">
        <v>48</v>
      </c>
      <c r="K30" s="57">
        <v>0</v>
      </c>
      <c r="L30" s="58" t="str">
        <f t="shared" ca="1" si="1"/>
        <v>Geplant</v>
      </c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</row>
    <row r="31" spans="1:44" ht="16.5" customHeight="1" x14ac:dyDescent="0.25">
      <c r="A31" s="50" t="s">
        <v>138</v>
      </c>
      <c r="B31" s="51" t="s">
        <v>41</v>
      </c>
      <c r="C31" s="52" t="s">
        <v>139</v>
      </c>
      <c r="D31" s="51" t="s">
        <v>135</v>
      </c>
      <c r="E31" s="53">
        <v>46328</v>
      </c>
      <c r="F31" s="53">
        <v>46332</v>
      </c>
      <c r="G31" s="54">
        <f>IF(OR($E31="",$F31=""),"",NETWORKDAYS($E31,$F31,Konfiguration!$J$4:$J$12))</f>
        <v>5</v>
      </c>
      <c r="H31" s="55">
        <v>0</v>
      </c>
      <c r="I31" s="56" t="s">
        <v>17</v>
      </c>
      <c r="J31" s="57">
        <v>32</v>
      </c>
      <c r="K31" s="57">
        <v>0</v>
      </c>
      <c r="L31" s="58" t="str">
        <f t="shared" ca="1" si="1"/>
        <v>Geplant</v>
      </c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</row>
    <row r="32" spans="1:44" ht="16.5" customHeight="1" x14ac:dyDescent="0.25">
      <c r="A32" s="50" t="s">
        <v>140</v>
      </c>
      <c r="B32" s="51" t="s">
        <v>41</v>
      </c>
      <c r="C32" s="52" t="s">
        <v>141</v>
      </c>
      <c r="D32" s="51" t="s">
        <v>86</v>
      </c>
      <c r="E32" s="53">
        <v>46321</v>
      </c>
      <c r="F32" s="53">
        <v>46330</v>
      </c>
      <c r="G32" s="54">
        <f>IF(OR($E32="",$F32=""),"",NETWORKDAYS($E32,$F32,Konfiguration!$J$4:$J$12))</f>
        <v>8</v>
      </c>
      <c r="H32" s="55">
        <v>0</v>
      </c>
      <c r="I32" s="56" t="s">
        <v>17</v>
      </c>
      <c r="J32" s="57">
        <v>24</v>
      </c>
      <c r="K32" s="57">
        <v>0</v>
      </c>
      <c r="L32" s="58" t="str">
        <f t="shared" ca="1" si="1"/>
        <v>Geplant</v>
      </c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</row>
    <row r="33" spans="1:44" ht="16.5" customHeight="1" x14ac:dyDescent="0.25">
      <c r="A33" s="50" t="s">
        <v>142</v>
      </c>
      <c r="B33" s="51" t="s">
        <v>41</v>
      </c>
      <c r="C33" s="52" t="s">
        <v>143</v>
      </c>
      <c r="D33" s="51" t="s">
        <v>105</v>
      </c>
      <c r="E33" s="53">
        <v>46331</v>
      </c>
      <c r="F33" s="53">
        <v>46332</v>
      </c>
      <c r="G33" s="54">
        <f>IF(OR($E33="",$F33=""),"",NETWORKDAYS($E33,$F33,Konfiguration!$J$4:$J$12))</f>
        <v>2</v>
      </c>
      <c r="H33" s="55">
        <v>0</v>
      </c>
      <c r="I33" s="56" t="s">
        <v>17</v>
      </c>
      <c r="J33" s="57">
        <v>12</v>
      </c>
      <c r="K33" s="57">
        <v>0</v>
      </c>
      <c r="L33" s="58" t="str">
        <f t="shared" ca="1" si="1"/>
        <v>Geplant</v>
      </c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</row>
    <row r="34" spans="1:44" ht="16.5" customHeight="1" x14ac:dyDescent="0.25">
      <c r="A34" s="50" t="s">
        <v>144</v>
      </c>
      <c r="B34" s="51" t="s">
        <v>41</v>
      </c>
      <c r="C34" s="60" t="s">
        <v>145</v>
      </c>
      <c r="D34" s="51" t="s">
        <v>14</v>
      </c>
      <c r="E34" s="53">
        <v>46332</v>
      </c>
      <c r="F34" s="53">
        <v>46332</v>
      </c>
      <c r="G34" s="54">
        <f>IF(OR($E34="",$F34=""),"",NETWORKDAYS($E34,$F34,Konfiguration!$J$4:$J$12))</f>
        <v>1</v>
      </c>
      <c r="H34" s="55">
        <v>0</v>
      </c>
      <c r="I34" s="56" t="s">
        <v>17</v>
      </c>
      <c r="J34" s="57">
        <v>4</v>
      </c>
      <c r="K34" s="57">
        <v>0</v>
      </c>
      <c r="L34" s="58" t="str">
        <f t="shared" ca="1" si="1"/>
        <v>Geplant</v>
      </c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</row>
    <row r="35" spans="1:44" ht="16.5" customHeight="1" x14ac:dyDescent="0.25">
      <c r="A35" s="50"/>
      <c r="B35" s="51"/>
      <c r="C35" s="52"/>
      <c r="D35" s="51"/>
      <c r="E35" s="53"/>
      <c r="F35" s="53"/>
      <c r="G35" s="54" t="str">
        <f>IF(OR($E35="",$F35=""),"",NETWORKDAYS($E35,$F35,Konfiguration!$J$4:$J$12))</f>
        <v/>
      </c>
      <c r="H35" s="55"/>
      <c r="I35" s="56"/>
      <c r="J35" s="57"/>
      <c r="K35" s="57"/>
      <c r="L35" s="58" t="str">
        <f t="shared" si="1"/>
        <v/>
      </c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</row>
    <row r="36" spans="1:44" ht="16.5" customHeight="1" x14ac:dyDescent="0.25">
      <c r="A36" s="50"/>
      <c r="B36" s="51"/>
      <c r="C36" s="52"/>
      <c r="D36" s="51"/>
      <c r="E36" s="53"/>
      <c r="F36" s="53"/>
      <c r="G36" s="54" t="str">
        <f>IF(OR($E36="",$F36=""),"",NETWORKDAYS($E36,$F36,Konfiguration!$J$4:$J$12))</f>
        <v/>
      </c>
      <c r="H36" s="55"/>
      <c r="I36" s="56"/>
      <c r="J36" s="57"/>
      <c r="K36" s="57"/>
      <c r="L36" s="58" t="str">
        <f t="shared" si="1"/>
        <v/>
      </c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</row>
    <row r="37" spans="1:44" ht="16.5" customHeight="1" x14ac:dyDescent="0.25">
      <c r="A37" s="50"/>
      <c r="B37" s="51"/>
      <c r="C37" s="52"/>
      <c r="D37" s="51"/>
      <c r="E37" s="53"/>
      <c r="F37" s="53"/>
      <c r="G37" s="54" t="str">
        <f>IF(OR($E37="",$F37=""),"",NETWORKDAYS($E37,$F37,Konfiguration!$J$4:$J$12))</f>
        <v/>
      </c>
      <c r="H37" s="55"/>
      <c r="I37" s="56"/>
      <c r="J37" s="57"/>
      <c r="K37" s="57"/>
      <c r="L37" s="58" t="str">
        <f t="shared" si="1"/>
        <v/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</row>
    <row r="38" spans="1:44" ht="16.5" customHeight="1" x14ac:dyDescent="0.25">
      <c r="A38" s="50"/>
      <c r="B38" s="51"/>
      <c r="C38" s="52"/>
      <c r="D38" s="51"/>
      <c r="E38" s="53"/>
      <c r="F38" s="53"/>
      <c r="G38" s="54" t="str">
        <f>IF(OR($E38="",$F38=""),"",NETWORKDAYS($E38,$F38,Konfiguration!$J$4:$J$12))</f>
        <v/>
      </c>
      <c r="H38" s="55"/>
      <c r="I38" s="56"/>
      <c r="J38" s="57"/>
      <c r="K38" s="57"/>
      <c r="L38" s="58" t="str">
        <f t="shared" si="1"/>
        <v/>
      </c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</row>
    <row r="39" spans="1:44" ht="16.5" customHeight="1" x14ac:dyDescent="0.25">
      <c r="A39" s="50"/>
      <c r="B39" s="51"/>
      <c r="C39" s="52"/>
      <c r="D39" s="51"/>
      <c r="E39" s="53"/>
      <c r="F39" s="53"/>
      <c r="G39" s="54" t="str">
        <f>IF(OR($E39="",$F39=""),"",NETWORKDAYS($E39,$F39,Konfiguration!$J$4:$J$12))</f>
        <v/>
      </c>
      <c r="H39" s="55"/>
      <c r="I39" s="56"/>
      <c r="J39" s="57"/>
      <c r="K39" s="57"/>
      <c r="L39" s="58" t="str">
        <f t="shared" si="1"/>
        <v/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</row>
    <row r="40" spans="1:44" ht="16.5" customHeight="1" x14ac:dyDescent="0.25">
      <c r="A40" s="50"/>
      <c r="B40" s="51"/>
      <c r="C40" s="52"/>
      <c r="D40" s="51"/>
      <c r="E40" s="53"/>
      <c r="F40" s="53"/>
      <c r="G40" s="54" t="str">
        <f>IF(OR($E40="",$F40=""),"",NETWORKDAYS($E40,$F40,Konfiguration!$J$4:$J$12))</f>
        <v/>
      </c>
      <c r="H40" s="55"/>
      <c r="I40" s="56"/>
      <c r="J40" s="57"/>
      <c r="K40" s="57"/>
      <c r="L40" s="58" t="str">
        <f t="shared" si="1"/>
        <v/>
      </c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</row>
    <row r="41" spans="1:44" ht="19.5" customHeight="1" x14ac:dyDescent="0.25">
      <c r="A41" s="81" t="s">
        <v>146</v>
      </c>
      <c r="B41" s="81"/>
      <c r="C41" s="81"/>
      <c r="D41" s="81"/>
      <c r="E41" s="61">
        <f>MIN($E$7:$E$40)</f>
        <v>46125</v>
      </c>
      <c r="F41" s="61">
        <f>MAX($F$7:$F$40)</f>
        <v>46332</v>
      </c>
      <c r="G41" s="62">
        <f>NETWORKDAYS($E$41,$F$41,Konfiguration!$J$4:$J$12)</f>
        <v>147</v>
      </c>
      <c r="H41" s="63">
        <f>IFERROR(SUMPRODUCT($H$7:$H$40,$J$7:$J$40)/SUM($J$7:$J$40),0)</f>
        <v>0.6230902777777777</v>
      </c>
      <c r="I41" s="64">
        <f>COUNTA($C$7:$C$40)</f>
        <v>28</v>
      </c>
      <c r="J41" s="65">
        <f>SUM($J$7:$J$40)</f>
        <v>1152</v>
      </c>
      <c r="K41" s="65">
        <f>SUM($K$7:$K$40)</f>
        <v>756</v>
      </c>
      <c r="L41" s="66">
        <f ca="1">COUNTIF($L$7:$L$40,"Überfällig")</f>
        <v>1</v>
      </c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</sheetData>
  <autoFilter ref="A6:L40" xr:uid="{00000000-0009-0000-0000-000001000000}"/>
  <mergeCells count="11">
    <mergeCell ref="A5:L5"/>
    <mergeCell ref="A41:D41"/>
    <mergeCell ref="A1:AR1"/>
    <mergeCell ref="A2:AR2"/>
    <mergeCell ref="A3:B3"/>
    <mergeCell ref="F3:L3"/>
    <mergeCell ref="M3:P3"/>
    <mergeCell ref="Q3:T3"/>
    <mergeCell ref="U3:X3"/>
    <mergeCell ref="Y3:AB3"/>
    <mergeCell ref="AC3:AF3"/>
  </mergeCells>
  <conditionalFormatting sqref="H7:H40">
    <cfRule type="dataBar" priority="12">
      <dataBar>
        <cfvo type="num" val="0"/>
        <cfvo type="num" val="1"/>
        <color rgb="FF1F3864"/>
      </dataBar>
      <extLst>
        <ext xmlns:x14="http://schemas.microsoft.com/office/spreadsheetml/2009/9/main" uri="{B025F937-C7B1-47D3-B67F-A62EFF666E3E}">
          <x14:id>{579B4DBA-0011-4E23-A454-9B83FC91E540}</x14:id>
        </ext>
      </extLst>
    </cfRule>
  </conditionalFormatting>
  <conditionalFormatting sqref="I7:I40">
    <cfRule type="expression" dxfId="15" priority="2">
      <formula>$I7="Abgeschlossen"</formula>
    </cfRule>
    <cfRule type="expression" dxfId="14" priority="3">
      <formula>$I7="In Arbeit"</formula>
    </cfRule>
    <cfRule type="expression" dxfId="13" priority="4">
      <formula>$I7="Nicht begonnen"</formula>
    </cfRule>
    <cfRule type="expression" dxfId="12" priority="5">
      <formula>$I7="Blockiert"</formula>
    </cfRule>
  </conditionalFormatting>
  <conditionalFormatting sqref="L7:L40">
    <cfRule type="expression" dxfId="11" priority="6">
      <formula>$L7="Erledigt"</formula>
    </cfRule>
    <cfRule type="expression" dxfId="10" priority="7">
      <formula>$L7="Im Plan"</formula>
    </cfRule>
    <cfRule type="expression" dxfId="9" priority="8">
      <formula>$L7="Geplant"</formula>
    </cfRule>
    <cfRule type="expression" dxfId="8" priority="9">
      <formula>$L7="Im Verzug"</formula>
    </cfRule>
    <cfRule type="expression" dxfId="7" priority="10">
      <formula>$L7="Überfällig"</formula>
    </cfRule>
    <cfRule type="expression" dxfId="6" priority="11">
      <formula>$L7="Blockiert"</formula>
    </cfRule>
  </conditionalFormatting>
  <conditionalFormatting sqref="M5:AR6">
    <cfRule type="expression" dxfId="5" priority="19">
      <formula>AND($E$3&gt;=$C$3+(COLUMN()-13)*7,$E$3&lt;$C$3+(COLUMN()-12)*7)</formula>
    </cfRule>
  </conditionalFormatting>
  <conditionalFormatting sqref="M7:AR40">
    <cfRule type="expression" dxfId="4" priority="14">
      <formula>AND($E$3&gt;=$C$3+(COLUMN()-13)*7,$E$3&lt;$C$3+(COLUMN()-12)*7)</formula>
    </cfRule>
    <cfRule type="expression" dxfId="3" priority="15">
      <formula>AND($C7&lt;&gt;"",$E7&lt;&gt;"",$E7=$F7,$E7&gt;=$C$3+(COLUMN()-13)*7,$E7&lt;$C$3+(COLUMN()-12)*7)</formula>
    </cfRule>
    <cfRule type="expression" dxfId="2" priority="16">
      <formula>AND($C7&lt;&gt;"",$I7="Blockiert",$F7&gt;=$C$3+(COLUMN()-13)*7,$E7&lt;$C$3+(COLUMN()-12)*7)</formula>
    </cfRule>
    <cfRule type="expression" dxfId="1" priority="17">
      <formula>AND($C7&lt;&gt;"",$E7&lt;&gt;$F7,$H7&gt;0,$C$3+(COLUMN()-12)*7-1&gt;=$E7,$C$3+(COLUMN()-13)*7&lt;=$E7+($F7-$E7)*$H7)</formula>
    </cfRule>
    <cfRule type="expression" dxfId="0" priority="18">
      <formula>AND($C7&lt;&gt;"",$E7&lt;&gt;"",$F7&gt;=$C$3+(COLUMN()-13)*7,$E7&lt;$C$3+(COLUMN()-12)*7)</formula>
    </cfRule>
  </conditionalFormatting>
  <dataValidations count="2">
    <dataValidation type="decimal" allowBlank="1" showErrorMessage="1" errorTitle="Ungültiger Fortschritt" error="Bitte einen Wert zwischen 0 % und 100 % eingeben." promptTitle="Fortschritt" prompt="Fertigstellungsgrad in Prozent (0–100 %)." sqref="H7:H40" xr:uid="{00000000-0002-0000-0100-000003000000}">
      <formula1>0</formula1>
      <formula2>1</formula2>
    </dataValidation>
    <dataValidation type="date" allowBlank="1" showErrorMessage="1" errorTitle="Ungültiges Datum" error="Bitte ein gültiges Datum eingeben." sqref="E7:F40" xr:uid="{00000000-0002-0000-0100-000004000000}">
      <formula1>DATE(2020,1,1)</formula1>
      <formula2>DATE(2040,12,31)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0000000-000E-0000-0100-00000D000000}">
            <xm:f>IFERROR(ISEVEN(MATCH($B7,Konfiguration!$B$4:$B$8,0)),0)</xm:f>
            <x14:dxf>
              <fill>
                <patternFill>
                  <bgColor rgb="FFEEF2F7"/>
                </patternFill>
              </fill>
            </x14:dxf>
          </x14:cfRule>
          <xm:sqref>A7:F40</xm:sqref>
        </x14:conditionalFormatting>
        <x14:conditionalFormatting xmlns:xm="http://schemas.microsoft.com/office/excel/2006/main">
          <x14:cfRule type="dataBar" id="{579B4DBA-0011-4E23-A454-9B83FC91E54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F3864"/>
            </x14:dataBar>
          </x14:cfRule>
          <xm:sqref>H7:H40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Konfiguration!$B$4:$B$8</xm:f>
          </x14:formula1>
          <x14:formula2>
            <xm:f>0</xm:f>
          </x14:formula2>
          <xm:sqref>B7:B40</xm:sqref>
        </x14:dataValidation>
        <x14:dataValidation type="list" allowBlank="1" showErrorMessage="1" xr:uid="{00000000-0002-0000-0100-000001000000}">
          <x14:formula1>
            <xm:f>Konfiguration!$D$4:$D$7</xm:f>
          </x14:formula1>
          <x14:formula2>
            <xm:f>0</xm:f>
          </x14:formula2>
          <xm:sqref>I7:I40</xm:sqref>
        </x14:dataValidation>
        <x14:dataValidation type="list" allowBlank="1" showErrorMessage="1" xr:uid="{00000000-0002-0000-0100-000002000000}">
          <x14:formula1>
            <xm:f>Konfiguration!$F$4:$F$12</xm:f>
          </x14:formula1>
          <x14:formula2>
            <xm:f>0</xm:f>
          </x14:formula2>
          <xm:sqref>D7:D40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A6472"/>
    <pageSetUpPr fitToPage="1"/>
  </sheetPr>
  <dimension ref="A1:M2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6" customWidth="1"/>
    <col min="3" max="3" width="2" customWidth="1"/>
    <col min="4" max="4" width="18" customWidth="1"/>
    <col min="5" max="5" width="2" customWidth="1"/>
    <col min="6" max="6" width="24" customWidth="1"/>
    <col min="7" max="7" width="2" customWidth="1"/>
    <col min="8" max="8" width="18" customWidth="1"/>
    <col min="9" max="9" width="2" customWidth="1"/>
    <col min="10" max="10" width="14" customWidth="1"/>
    <col min="11" max="11" width="26" customWidth="1"/>
    <col min="12" max="12" width="2" customWidth="1"/>
    <col min="13" max="13" width="14" customWidth="1"/>
  </cols>
  <sheetData>
    <row r="1" spans="1:13" ht="27.75" customHeight="1" x14ac:dyDescent="0.25">
      <c r="A1" s="82" t="s">
        <v>147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9.75" customHeight="1" x14ac:dyDescent="0.25"/>
    <row r="3" spans="1:13" ht="18" customHeight="1" x14ac:dyDescent="0.25">
      <c r="B3" s="15" t="s">
        <v>148</v>
      </c>
      <c r="D3" s="15" t="s">
        <v>149</v>
      </c>
      <c r="F3" s="15" t="s">
        <v>150</v>
      </c>
      <c r="H3" s="15" t="s">
        <v>151</v>
      </c>
      <c r="J3" s="12" t="s">
        <v>152</v>
      </c>
      <c r="K3" s="12"/>
      <c r="M3" s="15" t="s">
        <v>153</v>
      </c>
    </row>
    <row r="4" spans="1:13" x14ac:dyDescent="0.25">
      <c r="B4" s="68" t="s">
        <v>37</v>
      </c>
      <c r="D4" s="68" t="s">
        <v>17</v>
      </c>
      <c r="F4" s="68" t="s">
        <v>14</v>
      </c>
      <c r="H4" s="68" t="s">
        <v>48</v>
      </c>
      <c r="J4" s="69">
        <v>46023</v>
      </c>
      <c r="K4" s="68" t="s">
        <v>154</v>
      </c>
      <c r="M4" s="68" t="s">
        <v>155</v>
      </c>
    </row>
    <row r="5" spans="1:13" x14ac:dyDescent="0.25">
      <c r="B5" s="68" t="s">
        <v>38</v>
      </c>
      <c r="D5" s="68" t="s">
        <v>16</v>
      </c>
      <c r="F5" s="68" t="s">
        <v>86</v>
      </c>
      <c r="H5" s="68" t="s">
        <v>50</v>
      </c>
      <c r="J5" s="69">
        <v>46115</v>
      </c>
      <c r="K5" s="68" t="s">
        <v>156</v>
      </c>
      <c r="M5" s="68" t="s">
        <v>157</v>
      </c>
    </row>
    <row r="6" spans="1:13" x14ac:dyDescent="0.25">
      <c r="B6" s="68" t="s">
        <v>39</v>
      </c>
      <c r="D6" s="68" t="s">
        <v>15</v>
      </c>
      <c r="F6" s="68" t="s">
        <v>91</v>
      </c>
      <c r="H6" s="68" t="s">
        <v>52</v>
      </c>
      <c r="J6" s="69">
        <v>46118</v>
      </c>
      <c r="K6" s="68" t="s">
        <v>158</v>
      </c>
      <c r="M6" s="68" t="s">
        <v>159</v>
      </c>
    </row>
    <row r="7" spans="1:13" x14ac:dyDescent="0.25">
      <c r="B7" s="68" t="s">
        <v>40</v>
      </c>
      <c r="D7" s="68" t="s">
        <v>22</v>
      </c>
      <c r="F7" s="68" t="s">
        <v>98</v>
      </c>
      <c r="H7" s="68" t="s">
        <v>21</v>
      </c>
      <c r="J7" s="69">
        <v>46143</v>
      </c>
      <c r="K7" s="68" t="s">
        <v>160</v>
      </c>
      <c r="M7" s="68" t="s">
        <v>161</v>
      </c>
    </row>
    <row r="8" spans="1:13" x14ac:dyDescent="0.25">
      <c r="B8" s="68" t="s">
        <v>41</v>
      </c>
      <c r="F8" s="68" t="s">
        <v>112</v>
      </c>
      <c r="H8" s="68" t="s">
        <v>22</v>
      </c>
      <c r="J8" s="69">
        <v>46156</v>
      </c>
      <c r="K8" s="68" t="s">
        <v>162</v>
      </c>
      <c r="M8" s="68" t="s">
        <v>163</v>
      </c>
    </row>
    <row r="9" spans="1:13" x14ac:dyDescent="0.25">
      <c r="F9" s="68" t="s">
        <v>105</v>
      </c>
      <c r="H9" s="68" t="s">
        <v>56</v>
      </c>
      <c r="J9" s="69">
        <v>46167</v>
      </c>
      <c r="K9" s="68" t="s">
        <v>164</v>
      </c>
      <c r="M9" s="68" t="s">
        <v>165</v>
      </c>
    </row>
    <row r="10" spans="1:13" x14ac:dyDescent="0.25">
      <c r="F10" s="68" t="s">
        <v>124</v>
      </c>
      <c r="J10" s="69">
        <v>46298</v>
      </c>
      <c r="K10" s="68" t="s">
        <v>166</v>
      </c>
      <c r="M10" s="68" t="s">
        <v>167</v>
      </c>
    </row>
    <row r="11" spans="1:13" x14ac:dyDescent="0.25">
      <c r="F11" s="68" t="s">
        <v>135</v>
      </c>
      <c r="J11" s="69">
        <v>46381</v>
      </c>
      <c r="K11" s="68" t="s">
        <v>168</v>
      </c>
      <c r="M11" s="68" t="s">
        <v>169</v>
      </c>
    </row>
    <row r="12" spans="1:13" x14ac:dyDescent="0.25">
      <c r="F12" s="68" t="s">
        <v>117</v>
      </c>
      <c r="J12" s="69">
        <v>46382</v>
      </c>
      <c r="K12" s="68" t="s">
        <v>170</v>
      </c>
      <c r="M12" s="68" t="s">
        <v>171</v>
      </c>
    </row>
    <row r="13" spans="1:13" x14ac:dyDescent="0.25">
      <c r="M13" s="68" t="s">
        <v>172</v>
      </c>
    </row>
    <row r="14" spans="1:13" x14ac:dyDescent="0.25">
      <c r="M14" s="68" t="s">
        <v>173</v>
      </c>
    </row>
    <row r="15" spans="1:13" x14ac:dyDescent="0.25">
      <c r="B15" s="46" t="s">
        <v>174</v>
      </c>
      <c r="M15" s="68" t="s">
        <v>175</v>
      </c>
    </row>
    <row r="16" spans="1:13" x14ac:dyDescent="0.25">
      <c r="B16" s="46" t="s">
        <v>176</v>
      </c>
    </row>
    <row r="17" spans="13:13" ht="18" customHeight="1" x14ac:dyDescent="0.25">
      <c r="M17" s="15" t="s">
        <v>177</v>
      </c>
    </row>
    <row r="18" spans="13:13" x14ac:dyDescent="0.25">
      <c r="M18" s="68" t="s">
        <v>178</v>
      </c>
    </row>
    <row r="19" spans="13:13" x14ac:dyDescent="0.25">
      <c r="M19" s="68" t="s">
        <v>179</v>
      </c>
    </row>
    <row r="20" spans="13:13" x14ac:dyDescent="0.25">
      <c r="M20" s="68" t="s">
        <v>180</v>
      </c>
    </row>
    <row r="21" spans="13:13" x14ac:dyDescent="0.25">
      <c r="M21" s="68" t="s">
        <v>181</v>
      </c>
    </row>
    <row r="22" spans="13:13" x14ac:dyDescent="0.25">
      <c r="M22" s="68" t="s">
        <v>163</v>
      </c>
    </row>
    <row r="23" spans="13:13" x14ac:dyDescent="0.25">
      <c r="M23" s="68" t="s">
        <v>182</v>
      </c>
    </row>
    <row r="24" spans="13:13" x14ac:dyDescent="0.25">
      <c r="M24" s="68" t="s">
        <v>183</v>
      </c>
    </row>
    <row r="25" spans="13:13" x14ac:dyDescent="0.25">
      <c r="M25" s="68" t="s">
        <v>184</v>
      </c>
    </row>
    <row r="26" spans="13:13" x14ac:dyDescent="0.25">
      <c r="M26" s="68" t="s">
        <v>185</v>
      </c>
    </row>
    <row r="27" spans="13:13" x14ac:dyDescent="0.25">
      <c r="M27" s="68" t="s">
        <v>186</v>
      </c>
    </row>
    <row r="28" spans="13:13" x14ac:dyDescent="0.25">
      <c r="M28" s="68" t="s">
        <v>187</v>
      </c>
    </row>
    <row r="29" spans="13:13" x14ac:dyDescent="0.25">
      <c r="M29" s="68" t="s">
        <v>188</v>
      </c>
    </row>
  </sheetData>
  <mergeCells count="2">
    <mergeCell ref="A1:M1"/>
    <mergeCell ref="J3:K3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Übersicht</vt:lpstr>
      <vt:lpstr>Projektplan</vt:lpstr>
      <vt:lpstr>Konfiguration</vt:lpstr>
      <vt:lpstr>Konfiguration!Druckbereich</vt:lpstr>
      <vt:lpstr>Projektplan!Druckbereich</vt:lpstr>
      <vt:lpstr>Übersicht!Druckbereich</vt:lpstr>
      <vt:lpstr>Projektplan!Drucktitel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Projektplan Vorlage 2026</dc:title>
  <dc:subject/>
  <dc:creator>Projektmanagement</dc:creator>
  <dc:description>Generische Projektplan-Vorlage mit Gantt-Zeitachse, Kennzahlen und Auswertung.</dc:description>
  <cp:lastModifiedBy>Sergio Jiménez Canales</cp:lastModifiedBy>
  <cp:revision>1</cp:revision>
  <dcterms:created xsi:type="dcterms:W3CDTF">2026-08-21T09:29:22Z</dcterms:created>
  <dcterms:modified xsi:type="dcterms:W3CDTF">2026-08-21T10:07:18Z</dcterms:modified>
  <dc:language>en-US</dc:language>
</cp:coreProperties>
</file>