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_rels/drawing1.xml.rels" ContentType="application/vnd.openxmlformats-package.relationships+xml"/>
  <Override PartName="/xl/drawings/vmlDrawing1.vml" ContentType="application/vnd.openxmlformats-officedocument.vmlDrawing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rozessblatt" sheetId="1" state="visible" r:id="rId3"/>
    <sheet name="Prozessanalyse" sheetId="2" state="visible" r:id="rId4"/>
    <sheet name="Konfiguration" sheetId="3" state="visible" r:id="rId5"/>
  </sheets>
  <definedNames>
    <definedName function="false" hidden="false" localSheetId="2" name="_xlnm.Print_Area" vbProcedure="false">Konfiguration!$B$2:$H$33</definedName>
    <definedName function="false" hidden="false" localSheetId="0" name="_xlnm.Print_Area" vbProcedure="false">Prozessblatt!$B$2:$R$62</definedName>
    <definedName function="false" hidden="false" name="L_Auto" vbProcedure="false">Konfiguration!$F$23:$F$25</definedName>
    <definedName function="false" hidden="false" name="L_Krit" vbProcedure="false">Konfiguration!$G$23:$G$25</definedName>
    <definedName function="false" hidden="false" name="L_Phase" vbProcedure="false">Konfiguration!$B$23:$B$27</definedName>
    <definedName function="false" hidden="false" name="L_Rolle" vbProcedure="false">Konfiguration!$D$23:$D$30</definedName>
    <definedName function="false" hidden="false" name="L_System" vbProcedure="false">Konfiguration!$E$23:$E$29</definedName>
    <definedName function="false" hidden="false" name="L_Typ" vbProcedure="false">Konfiguration!$C$23:$C$27</definedName>
    <definedName function="false" hidden="false" name="P_Auto" vbProcedure="false">Prozessblatt!$P$22:$P$44</definedName>
    <definedName function="false" hidden="false" name="P_Bearb" vbProcedure="false">Prozessblatt!$M$22:$M$44</definedName>
    <definedName function="false" hidden="false" name="P_Krit" vbProcedure="false">Prozessblatt!$Q$22:$Q$44</definedName>
    <definedName function="false" hidden="false" name="P_Kriterium" vbProcedure="false">Prozessblatt!$R$22:$R$44</definedName>
    <definedName function="false" hidden="false" name="P_Output" vbProcedure="false">Prozessblatt!$J$22:$J$44</definedName>
    <definedName function="false" hidden="false" name="P_Phase" vbProcedure="false">Prozessblatt!$C$22:$C$44</definedName>
    <definedName function="false" hidden="false" name="P_System" vbProcedure="false">Prozessblatt!$K$22:$K$44</definedName>
    <definedName function="false" hidden="false" name="P_Taetigkeit" vbProcedure="false">Prozessblatt!$E$22:$E$44</definedName>
    <definedName function="false" hidden="false" name="P_Typ" vbProcedure="false">Prozessblatt!$D$22:$D$44</definedName>
    <definedName function="false" hidden="false" name="P_Verantw" vbProcedure="false">Prozessblatt!$G$22:$G$44</definedName>
    <definedName function="false" hidden="false" name="P_Warte" vbProcedure="false">Prozessblatt!$N$22:$N$44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C4" authorId="0">
      <text>
        <r>
          <rPr>
            <sz val="10"/>
            <rFont val="Arial"/>
            <family val="2"/>
          </rPr>
          <t xml:space="preserve">Bezugsjahr der Prozessdokumentation. Wird in Titelzeile und Fußzeile übernommen.</t>
        </r>
      </text>
    </comment>
  </commentList>
</comments>
</file>

<file path=xl/sharedStrings.xml><?xml version="1.0" encoding="utf-8"?>
<sst xmlns="http://schemas.openxmlformats.org/spreadsheetml/2006/main" count="478" uniqueCount="258">
  <si>
    <t xml:space="preserve">PROZESSBESCHREIBUNG</t>
  </si>
  <si>
    <t xml:space="preserve">Jahr</t>
  </si>
  <si>
    <t xml:space="preserve">Blaue Werte sind Eingaben  ·  graue Felder rechnen automatisch</t>
  </si>
  <si>
    <t xml:space="preserve">PROZESS-STECKBRIEF</t>
  </si>
  <si>
    <t xml:space="preserve">Prozessname</t>
  </si>
  <si>
    <t xml:space="preserve">Beschaffung von Material und Dienstleistungen</t>
  </si>
  <si>
    <t xml:space="preserve">Zweck / Zielsetzung</t>
  </si>
  <si>
    <t xml:space="preserve">Bedarfe wirtschaftlich, termingerecht und regelkonform decken.</t>
  </si>
  <si>
    <t xml:space="preserve">Prozess-ID</t>
  </si>
  <si>
    <t xml:space="preserve">PB-2026-042</t>
  </si>
  <si>
    <t xml:space="preserve">Geltungsbereich</t>
  </si>
  <si>
    <t xml:space="preserve">Alle Beschaffungen ab der internen Wertgrenze, standortübergreifend.</t>
  </si>
  <si>
    <t xml:space="preserve">Version</t>
  </si>
  <si>
    <t xml:space="preserve">2.1</t>
  </si>
  <si>
    <t xml:space="preserve">Auslöser (Trigger)</t>
  </si>
  <si>
    <t xml:space="preserve">Ein Fachbereich meldet einen Bedarf über das Bedarfsformular.</t>
  </si>
  <si>
    <t xml:space="preserve">Gültig ab</t>
  </si>
  <si>
    <t xml:space="preserve">01.03.2026</t>
  </si>
  <si>
    <t xml:space="preserve">Prozess-Input</t>
  </si>
  <si>
    <t xml:space="preserve">Bedarfsmeldung mit Menge, Termin, Kostenstelle und Begründung.</t>
  </si>
  <si>
    <t xml:space="preserve">Nächste Überprüfung</t>
  </si>
  <si>
    <t xml:space="preserve">01.03.2027</t>
  </si>
  <si>
    <t xml:space="preserve">Prozess-Output</t>
  </si>
  <si>
    <t xml:space="preserve">Gelieferte Leistung, geprüfte Rechnung und archivierter Vorgang.</t>
  </si>
  <si>
    <t xml:space="preserve">Prozessverantwortung</t>
  </si>
  <si>
    <t xml:space="preserve">Leitung Einkauf</t>
  </si>
  <si>
    <t xml:space="preserve">Prozesskunde / Empfänger</t>
  </si>
  <si>
    <t xml:space="preserve">Anfordernder Fachbereich sowie Buchhaltung und Controlling.</t>
  </si>
  <si>
    <t xml:space="preserve">Bereich / Abteilung</t>
  </si>
  <si>
    <t xml:space="preserve">Einkauf und Materialwirtschaft</t>
  </si>
  <si>
    <t xml:space="preserve">Mitgeltende Unterlagen</t>
  </si>
  <si>
    <t xml:space="preserve">Beschaffungsrichtlinie, Unterschriftenregelung, Lieferantenliste.</t>
  </si>
  <si>
    <t xml:space="preserve">PROZESSSCHRITTE</t>
  </si>
  <si>
    <t xml:space="preserve">ENTSCHEIDUNGSPUNKTE</t>
  </si>
  <si>
    <t xml:space="preserve">BEARBEITUNGSZEIT</t>
  </si>
  <si>
    <t xml:space="preserve">DURCHLAUFZEIT GESAMT</t>
  </si>
  <si>
    <t xml:space="preserve">EFFIZIENZQUOTE</t>
  </si>
  <si>
    <t xml:space="preserve">erfasste Schritte insgesamt</t>
  </si>
  <si>
    <t xml:space="preserve">Verzweigungen im Ablauf</t>
  </si>
  <si>
    <t xml:space="preserve">wertschöpfende Zeit</t>
  </si>
  <si>
    <t xml:space="preserve">Bearbeitung + Liegezeit</t>
  </si>
  <si>
    <t xml:space="preserve">Bearbeitung ÷ Durchlaufzeit</t>
  </si>
  <si>
    <t xml:space="preserve">PROZESSSCHRITTE   ·   Ablauf in der tatsächlichen Reihenfolge</t>
  </si>
  <si>
    <t xml:space="preserve">Nr</t>
  </si>
  <si>
    <t xml:space="preserve">Phase</t>
  </si>
  <si>
    <t xml:space="preserve">Schritt-Typ</t>
  </si>
  <si>
    <t xml:space="preserve">Tätigkeit</t>
  </si>
  <si>
    <t xml:space="preserve">Beschreibung</t>
  </si>
  <si>
    <t xml:space="preserve">Verantwortlich</t>
  </si>
  <si>
    <t xml:space="preserve">Beteiligte</t>
  </si>
  <si>
    <t xml:space="preserve">Input</t>
  </si>
  <si>
    <t xml:space="preserve">Output</t>
  </si>
  <si>
    <t xml:space="preserve">System / Tool</t>
  </si>
  <si>
    <t xml:space="preserve">Dokument / Vorlage</t>
  </si>
  <si>
    <t xml:space="preserve">Bearbeitung
(Min)</t>
  </si>
  <si>
    <t xml:space="preserve">Wartezeit
(Min)</t>
  </si>
  <si>
    <t xml:space="preserve">Durchlaufzeit
kumuliert (Min)</t>
  </si>
  <si>
    <t xml:space="preserve">Automatisierung</t>
  </si>
  <si>
    <t xml:space="preserve">Kritikalität</t>
  </si>
  <si>
    <t xml:space="preserve">Verzweigung / Kriterium</t>
  </si>
  <si>
    <t xml:space="preserve">1 · Bedarf</t>
  </si>
  <si>
    <t xml:space="preserve">Start</t>
  </si>
  <si>
    <t xml:space="preserve">Bedarf entsteht</t>
  </si>
  <si>
    <t xml:space="preserve">Im Fachbereich wird ein Bedarf an Material oder einer Dienstleistung festgestellt.</t>
  </si>
  <si>
    <t xml:space="preserve">Fachbereich / Bedarfsträger</t>
  </si>
  <si>
    <t xml:space="preserve">—</t>
  </si>
  <si>
    <t xml:space="preserve">Erkannter Bedarf</t>
  </si>
  <si>
    <t xml:space="preserve">Formloser Bedarfshinweis</t>
  </si>
  <si>
    <t xml:space="preserve">manuell</t>
  </si>
  <si>
    <t xml:space="preserve">gering</t>
  </si>
  <si>
    <t xml:space="preserve">Aktivität</t>
  </si>
  <si>
    <t xml:space="preserve">Bedarfsmeldung erfassen</t>
  </si>
  <si>
    <t xml:space="preserve">Bedarf mit Menge, Termin und Kostenstelle im Formular vollständig erfassen.</t>
  </si>
  <si>
    <t xml:space="preserve">Einkauf</t>
  </si>
  <si>
    <t xml:space="preserve">Erfasste Bedarfsmeldung</t>
  </si>
  <si>
    <t xml:space="preserve">Intranet-Formular</t>
  </si>
  <si>
    <t xml:space="preserve">Bedarfsformular</t>
  </si>
  <si>
    <t xml:space="preserve">teilautomatisiert</t>
  </si>
  <si>
    <t xml:space="preserve">mittel</t>
  </si>
  <si>
    <t xml:space="preserve">Prüfung</t>
  </si>
  <si>
    <t xml:space="preserve">Bedarf auf Notwendigkeit prüfen</t>
  </si>
  <si>
    <t xml:space="preserve">Prüfen, ob der Bedarf sachlich begründet und nicht bereits im Bestand vorhanden ist.</t>
  </si>
  <si>
    <t xml:space="preserve">Geprüfte Bedarfsmeldung</t>
  </si>
  <si>
    <t xml:space="preserve">ERP-System</t>
  </si>
  <si>
    <t xml:space="preserve">Bestandsübersicht</t>
  </si>
  <si>
    <t xml:space="preserve">2 · Freigabe</t>
  </si>
  <si>
    <t xml:space="preserve">Entscheidung</t>
  </si>
  <si>
    <t xml:space="preserve">Budget verfügbar?</t>
  </si>
  <si>
    <t xml:space="preserve">Abgleich der Bedarfssumme mit dem freigegebenen Budget der Kostenstelle.</t>
  </si>
  <si>
    <t xml:space="preserve">Kostenstellenleitung</t>
  </si>
  <si>
    <t xml:space="preserve">Buchhaltung</t>
  </si>
  <si>
    <t xml:space="preserve">Budgetentscheidung</t>
  </si>
  <si>
    <t xml:space="preserve">Kostenstellenbericht</t>
  </si>
  <si>
    <t xml:space="preserve">hoch</t>
  </si>
  <si>
    <t xml:space="preserve">Ja → Schritt 6   ·   Nein → Schritt 5</t>
  </si>
  <si>
    <t xml:space="preserve">Budget nachfordern oder Bedarf zurückstellen</t>
  </si>
  <si>
    <t xml:space="preserve">Zusätzliches Budget beantragen oder den Bedarf mit Begründung zurückstellen.</t>
  </si>
  <si>
    <t xml:space="preserve">Angepasste Bedarfsmeldung</t>
  </si>
  <si>
    <t xml:space="preserve">E-Mail</t>
  </si>
  <si>
    <t xml:space="preserve">Budgetantrag</t>
  </si>
  <si>
    <t xml:space="preserve">Wertgrenze überschritten?</t>
  </si>
  <si>
    <t xml:space="preserve">Liegt der Bestellwert über der intern festgelegten Wertgrenze für Angebotsvergleiche?</t>
  </si>
  <si>
    <t xml:space="preserve">Freigegebene Bedarfsmeldung</t>
  </si>
  <si>
    <t xml:space="preserve">Vergabeentscheidung</t>
  </si>
  <si>
    <t xml:space="preserve">Beschaffungsrichtlinie</t>
  </si>
  <si>
    <t xml:space="preserve">automatisiert</t>
  </si>
  <si>
    <t xml:space="preserve">Ja → Schritt 7   ·   Nein → Schritt 10</t>
  </si>
  <si>
    <t xml:space="preserve">Vergleichsangebote einholen</t>
  </si>
  <si>
    <t xml:space="preserve">Mindestens drei Angebote bei geeigneten Lieferanten anfragen und dokumentieren.</t>
  </si>
  <si>
    <t xml:space="preserve">Vorliegende Angebote</t>
  </si>
  <si>
    <t xml:space="preserve">Anfrageschreiben</t>
  </si>
  <si>
    <t xml:space="preserve">Angebote vergleichen und bewerten</t>
  </si>
  <si>
    <t xml:space="preserve">Preis, Lieferzeit, Qualität und Konditionen nach einheitlichem Schema bewerten.</t>
  </si>
  <si>
    <t xml:space="preserve">Qualitätssicherung</t>
  </si>
  <si>
    <t xml:space="preserve">Bewerteter Angebotsspiegel</t>
  </si>
  <si>
    <t xml:space="preserve">Tabellenkalkulation</t>
  </si>
  <si>
    <t xml:space="preserve">Angebotsspiegel</t>
  </si>
  <si>
    <t xml:space="preserve">3 · Bestellung</t>
  </si>
  <si>
    <t xml:space="preserve">Lieferant auswählen und begründen</t>
  </si>
  <si>
    <t xml:space="preserve">Auswahlentscheidung treffen und nachvollziehbar im Vergabevermerk festhalten.</t>
  </si>
  <si>
    <t xml:space="preserve">Vergabevermerk</t>
  </si>
  <si>
    <t xml:space="preserve">Dokumentenmanagement</t>
  </si>
  <si>
    <t xml:space="preserve">Bestellung im System anlegen</t>
  </si>
  <si>
    <t xml:space="preserve">Bestellpositionen, Konditionen, Liefertermin und Kontierung im System erfassen.</t>
  </si>
  <si>
    <t xml:space="preserve">Bestellbeleg (Entwurf)</t>
  </si>
  <si>
    <t xml:space="preserve">Bestellvorlage</t>
  </si>
  <si>
    <t xml:space="preserve">Bestellung freigeben und versenden</t>
  </si>
  <si>
    <t xml:space="preserve">Bestellung nach Vier-Augen-Prinzip freigeben und an den Lieferanten übermitteln.</t>
  </si>
  <si>
    <t xml:space="preserve">Geschäftsleitung</t>
  </si>
  <si>
    <t xml:space="preserve">Versendete Bestellung</t>
  </si>
  <si>
    <t xml:space="preserve">Bestellportal</t>
  </si>
  <si>
    <t xml:space="preserve">Bestellbeleg</t>
  </si>
  <si>
    <t xml:space="preserve">4 · Wareneingang</t>
  </si>
  <si>
    <t xml:space="preserve">Auftragsbestätigung abgleichen</t>
  </si>
  <si>
    <t xml:space="preserve">Bestätigte Menge, Preise und Termine gegen die Bestellung prüfen.</t>
  </si>
  <si>
    <t xml:space="preserve">Auftragsbestätigung</t>
  </si>
  <si>
    <t xml:space="preserve">Bestätigte Bestellung</t>
  </si>
  <si>
    <t xml:space="preserve">Wareneingang buchen</t>
  </si>
  <si>
    <t xml:space="preserve">Gelieferte Menge erfassen, Lieferschein zuordnen und Bestand fortschreiben.</t>
  </si>
  <si>
    <t xml:space="preserve">Wareneingang / Lager</t>
  </si>
  <si>
    <t xml:space="preserve">Lieferung und Lieferschein</t>
  </si>
  <si>
    <t xml:space="preserve">Gebuchter Wareneingang</t>
  </si>
  <si>
    <t xml:space="preserve">Lieferschein</t>
  </si>
  <si>
    <t xml:space="preserve">Menge und Qualität prüfen</t>
  </si>
  <si>
    <t xml:space="preserve">Sicht- und Stichprobenprüfung gemäß festgelegtem Prüfumfang durchführen.</t>
  </si>
  <si>
    <t xml:space="preserve">Prüfprotokoll</t>
  </si>
  <si>
    <t xml:space="preserve">Lieferung einwandfrei?</t>
  </si>
  <si>
    <t xml:space="preserve">Entspricht die Lieferung in Menge und Qualität vollständig der Bestellung?</t>
  </si>
  <si>
    <t xml:space="preserve">Prüfentscheidung</t>
  </si>
  <si>
    <t xml:space="preserve">Ja → Schritt 17   ·   Nein → Schritt 16</t>
  </si>
  <si>
    <t xml:space="preserve">Reklamation auslösen</t>
  </si>
  <si>
    <t xml:space="preserve">Abweichung dokumentieren, Lieferanten informieren und Ersatz oder Gutschrift vereinbaren.</t>
  </si>
  <si>
    <t xml:space="preserve">Reklamationsvorgang</t>
  </si>
  <si>
    <t xml:space="preserve">Reklamationsformular</t>
  </si>
  <si>
    <t xml:space="preserve">5 · Abschluss</t>
  </si>
  <si>
    <t xml:space="preserve">Rechnung sachlich und rechnerisch prüfen</t>
  </si>
  <si>
    <t xml:space="preserve">Rechnung gegen Bestellung und Wareneingang abgleichen (Drei-Wege-Abgleich).</t>
  </si>
  <si>
    <t xml:space="preserve">Eingangsrechnung</t>
  </si>
  <si>
    <t xml:space="preserve">Geprüfte Rechnung</t>
  </si>
  <si>
    <t xml:space="preserve">Prüfvermerk</t>
  </si>
  <si>
    <t xml:space="preserve">Zahlung freigeben</t>
  </si>
  <si>
    <t xml:space="preserve">Zahlung unter Beachtung von Skontofristen zur Ausführung freigeben.</t>
  </si>
  <si>
    <t xml:space="preserve">Freigegebene Zahlung</t>
  </si>
  <si>
    <t xml:space="preserve">Zahlungslauf</t>
  </si>
  <si>
    <t xml:space="preserve">Ende</t>
  </si>
  <si>
    <t xml:space="preserve">Vorgang abschließen und archivieren</t>
  </si>
  <si>
    <t xml:space="preserve">Alle Belege revisionssicher ablegen und den Beschaffungsvorgang schließen.</t>
  </si>
  <si>
    <t xml:space="preserve">Archivierter Vorgang</t>
  </si>
  <si>
    <t xml:space="preserve">Ablagerichtlinie</t>
  </si>
  <si>
    <t xml:space="preserve">Summe  ·  Bearbeitungszeit, Wartezeit und Gesamtdurchlaufzeit</t>
  </si>
  <si>
    <t xml:space="preserve">LEGENDE</t>
  </si>
  <si>
    <t xml:space="preserve">Start / Ende</t>
  </si>
  <si>
    <t xml:space="preserve">Kritikalität hoch</t>
  </si>
  <si>
    <t xml:space="preserve">Eingabefeld</t>
  </si>
  <si>
    <t xml:space="preserve">FREIGABE UND VERSIONIERUNG</t>
  </si>
  <si>
    <t xml:space="preserve">ERSTELLT VON</t>
  </si>
  <si>
    <t xml:space="preserve">GEPRÜFT VON</t>
  </si>
  <si>
    <t xml:space="preserve">FREIGEGEBEN VON</t>
  </si>
  <si>
    <t xml:space="preserve">M. Trautwein  ·  Fachreferent Einkauf</t>
  </si>
  <si>
    <t xml:space="preserve">A. Weinhold  ·  Qualitätsmanagement</t>
  </si>
  <si>
    <t xml:space="preserve">K. Osterhage  ·  Kaufmännische Leitung</t>
  </si>
  <si>
    <t xml:space="preserve">Datum: 12.02.2026          Unterschrift: ______________________</t>
  </si>
  <si>
    <t xml:space="preserve">Datum: 20.02.2026          Unterschrift: ______________________</t>
  </si>
  <si>
    <t xml:space="preserve">Datum: 27.02.2026          Unterschrift: ______________________</t>
  </si>
  <si>
    <t xml:space="preserve">ÄNDERUNGSHISTORIE</t>
  </si>
  <si>
    <t xml:space="preserve">Datum</t>
  </si>
  <si>
    <t xml:space="preserve">Autor/in</t>
  </si>
  <si>
    <t xml:space="preserve">Art der Änderung</t>
  </si>
  <si>
    <t xml:space="preserve">1.0</t>
  </si>
  <si>
    <t xml:space="preserve">08.01.2026</t>
  </si>
  <si>
    <t xml:space="preserve">M. Trautwein</t>
  </si>
  <si>
    <t xml:space="preserve">Ersterstellung der Prozessbeschreibung</t>
  </si>
  <si>
    <t xml:space="preserve">1.1</t>
  </si>
  <si>
    <t xml:space="preserve">23.01.2026</t>
  </si>
  <si>
    <t xml:space="preserve">Wertgrenze und Angebotsvergleich als eigene Schritte ergänzt</t>
  </si>
  <si>
    <t xml:space="preserve">2.0</t>
  </si>
  <si>
    <t xml:space="preserve">12.02.2026</t>
  </si>
  <si>
    <t xml:space="preserve">A. Weinhold</t>
  </si>
  <si>
    <t xml:space="preserve">Prüf- und Reklamationsschritte nach interner Revision überarbeitet</t>
  </si>
  <si>
    <t xml:space="preserve">27.02.2026</t>
  </si>
  <si>
    <t xml:space="preserve">K. Osterhage</t>
  </si>
  <si>
    <t xml:space="preserve">Wartezeiten und Verantwortlichkeiten präzisiert, Freigabe erteilt</t>
  </si>
  <si>
    <t xml:space="preserve">PROZESSANALYSE</t>
  </si>
  <si>
    <t xml:space="preserve">VERTEILUNG NACH SCHRITT-TYP</t>
  </si>
  <si>
    <t xml:space="preserve">Anzahl</t>
  </si>
  <si>
    <t xml:space="preserve">Anteil</t>
  </si>
  <si>
    <t xml:space="preserve">Bearbeitung (Min)</t>
  </si>
  <si>
    <t xml:space="preserve">Wartezeit (Min)</t>
  </si>
  <si>
    <t xml:space="preserve">Durchlaufzeit (Min)</t>
  </si>
  <si>
    <t xml:space="preserve">Gesamt</t>
  </si>
  <si>
    <t xml:space="preserve">ZEITVERTEILUNG NACH PROZESSPHASE</t>
  </si>
  <si>
    <t xml:space="preserve">Prozessphase</t>
  </si>
  <si>
    <t xml:space="preserve">Schritte</t>
  </si>
  <si>
    <t xml:space="preserve">Anteil an DLZ</t>
  </si>
  <si>
    <t xml:space="preserve">Effizienzquote</t>
  </si>
  <si>
    <t xml:space="preserve">AUFWAND NACH VERANTWORTLICHKEIT</t>
  </si>
  <si>
    <t xml:space="preserve">Rolle / Verantwortlich</t>
  </si>
  <si>
    <t xml:space="preserve">Anteil Bearbeitung</t>
  </si>
  <si>
    <t xml:space="preserve">davon Wartezeit (Min)</t>
  </si>
  <si>
    <t xml:space="preserve">Externe/r Lieferant</t>
  </si>
  <si>
    <t xml:space="preserve">AUTOMATISIERUNGSGRAD UND KRITIKALITÄT</t>
  </si>
  <si>
    <t xml:space="preserve">Merkmal</t>
  </si>
  <si>
    <t xml:space="preserve">Kritikalität „hoch“</t>
  </si>
  <si>
    <t xml:space="preserve">Kritikalität „mittel“</t>
  </si>
  <si>
    <t xml:space="preserve">Kritikalität „gering“</t>
  </si>
  <si>
    <t xml:space="preserve">QUALITÄTSPRÜFUNG DER DOKUMENTATION</t>
  </si>
  <si>
    <t xml:space="preserve">Prüfpunkt</t>
  </si>
  <si>
    <t xml:space="preserve">Bewertung</t>
  </si>
  <si>
    <t xml:space="preserve">Schritte ohne Verantwortlichen</t>
  </si>
  <si>
    <t xml:space="preserve">Schritte ohne definierten Output</t>
  </si>
  <si>
    <t xml:space="preserve">Entscheidungen ohne Kriterium</t>
  </si>
  <si>
    <t xml:space="preserve">Schritte ohne Zeitangabe (Bearbeitung)</t>
  </si>
  <si>
    <t xml:space="preserve">Schritte mit Wartezeit über 24 Stunden</t>
  </si>
  <si>
    <t xml:space="preserve">Manuelle Schritte mit hoher Kritikalität</t>
  </si>
  <si>
    <t xml:space="preserve">Die letzten beiden Prüfpunkte sind Hinweise, keine Fehler: hohe Wartezeiten und manuelle Schritte mit hoher Kritikalität sind typische Ansatzpunkte für eine Prozessverbesserung.</t>
  </si>
  <si>
    <t xml:space="preserve">KONFIGURATION UND ANLEITUNG</t>
  </si>
  <si>
    <t xml:space="preserve">Auswahllisten, Begriffsdefinitionen und Kurzanleitung zur Vorlage</t>
  </si>
  <si>
    <t xml:space="preserve">IN FÜNF SCHRITTEN ZUR FERTIGEN PROZESSBESCHREIBUNG</t>
  </si>
  <si>
    <t xml:space="preserve">1 · Steckbrief ausfüllen</t>
  </si>
  <si>
    <t xml:space="preserve">Im Blatt „Prozessblatt“ oben Prozessname, ID, Version, Gültigkeit, Verantwortung, Zweck, Auslöser sowie Input und Output eintragen.</t>
  </si>
  <si>
    <t xml:space="preserve">2 · Ablauf erfassen</t>
  </si>
  <si>
    <t xml:space="preserve">Jeden Schritt in einer eigenen Zeile in der tatsächlichen Reihenfolge festhalten. Die laufende Nummer vergibt die Vorlage automatisch, sobald eine Tätigkeit eingetragen ist.</t>
  </si>
  <si>
    <t xml:space="preserve">3 · Zeiten trennen</t>
  </si>
  <si>
    <t xml:space="preserve">Bearbeitungszeit ist die tatsächlich aufgewendete Arbeitszeit, Wartezeit die Liegezeit zwischen zwei Schritten. Die kumulierte Durchlaufzeit rechnet die Vorlage selbst.</t>
  </si>
  <si>
    <t xml:space="preserve">4 · Entscheidungen beschreiben</t>
  </si>
  <si>
    <t xml:space="preserve">Bei jedem Schritt vom Typ „Entscheidung“ das Kriterium und die Sprungziele angeben, zum Beispiel: Ja → Schritt 7 · Nein → Schritt 5. Fehlt das Kriterium, wird das Feld rot markiert.</t>
  </si>
  <si>
    <t xml:space="preserve">5 · Ergebnis prüfen</t>
  </si>
  <si>
    <t xml:space="preserve">Das Blatt „Prozessanalyse“ zeigt Zeitverteilung, Rollenaufwand, Automatisierungsgrad und eine Vollständigkeitsprüfung der Dokumentation.</t>
  </si>
  <si>
    <t xml:space="preserve">SCHRITT-TYPEN UND BEGRIFFE</t>
  </si>
  <si>
    <t xml:space="preserve">Auslösendes Ereignis, mit dem der Prozess beginnt.</t>
  </si>
  <si>
    <t xml:space="preserve">Ausführende Tätigkeit, die ein Zwischenergebnis erzeugt.</t>
  </si>
  <si>
    <t xml:space="preserve">Kontrollschritt, der ein Ergebnis gegen Vorgaben abgleicht.</t>
  </si>
  <si>
    <t xml:space="preserve">Verzweigung mit klarem Ja-/Nein-Kriterium und Sprungziel.</t>
  </si>
  <si>
    <t xml:space="preserve">Abschluss des Prozesses mit dem endgültigen Ergebnis.</t>
  </si>
  <si>
    <t xml:space="preserve">Bedeutung des Schritts für Ergebnis, Termin, Kosten oder Compliance.</t>
  </si>
  <si>
    <t xml:space="preserve">Bearbeitungszeit geteilt durch Durchlaufzeit. Ein niedriger Wert weist auf hohe Liegezeiten und damit auf Optimierungspotenzial hin.</t>
  </si>
  <si>
    <t xml:space="preserve">AUSWAHLLISTEN  ·  QUELLE DER DROPDOWN-FELDER</t>
  </si>
  <si>
    <t xml:space="preserve">Listen können jederzeit an das eigene Unternehmen angepasst werden. Wird eine Liste verlängert, den zugehörigen Namensbereich unter Formeln &gt; Namensmanager um die neuen Zeilen erweitern. Sämtliche Namen, Beträge und Zeiten in dieser Datei sind frei erfundene Beispielwerte und dienen ausschließlich der Veranschaulichung.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</si>
</sst>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0"/>
    <numFmt numFmtId="166" formatCode="#,##0"/>
    <numFmt numFmtId="167" formatCode="#,##0&quot; Min&quot;"/>
    <numFmt numFmtId="168" formatCode="0.0%"/>
    <numFmt numFmtId="169" formatCode="General"/>
    <numFmt numFmtId="170" formatCode="#,##0;\-#,##0;\–"/>
  </numFmts>
  <fonts count="3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FFFFFF"/>
      <name val="Calibri"/>
      <family val="0"/>
      <charset val="1"/>
    </font>
    <font>
      <i val="true"/>
      <sz val="9.5"/>
      <color rgb="FFFFFFFF"/>
      <name val="Calibri"/>
      <family val="0"/>
      <charset val="1"/>
    </font>
    <font>
      <b val="true"/>
      <sz val="9"/>
      <color rgb="FF5C6470"/>
      <name val="Calibri"/>
      <family val="0"/>
      <charset val="1"/>
    </font>
    <font>
      <b val="true"/>
      <sz val="10"/>
      <color rgb="FF0000FF"/>
      <name val="Calibri"/>
      <family val="0"/>
      <charset val="1"/>
    </font>
    <font>
      <i val="true"/>
      <sz val="9"/>
      <color rgb="FF5C6470"/>
      <name val="Calibri"/>
      <family val="0"/>
      <charset val="1"/>
    </font>
    <font>
      <b val="true"/>
      <sz val="10.5"/>
      <color rgb="FFFFFFFF"/>
      <name val="Calibri"/>
      <family val="0"/>
      <charset val="1"/>
    </font>
    <font>
      <b val="true"/>
      <sz val="10"/>
      <color rgb="FF3A3F4A"/>
      <name val="Calibri"/>
      <family val="0"/>
      <charset val="1"/>
    </font>
    <font>
      <sz val="10"/>
      <color rgb="FF1A1A1A"/>
      <name val="Calibri"/>
      <family val="0"/>
      <charset val="1"/>
    </font>
    <font>
      <b val="true"/>
      <sz val="8.5"/>
      <color rgb="FF5C6470"/>
      <name val="Calibri"/>
      <family val="0"/>
      <charset val="1"/>
    </font>
    <font>
      <b val="true"/>
      <sz val="16"/>
      <color rgb="FF6B1F2E"/>
      <name val="Calibri"/>
      <family val="0"/>
      <charset val="1"/>
    </font>
    <font>
      <i val="true"/>
      <sz val="8.5"/>
      <color rgb="FF5C6470"/>
      <name val="Calibri"/>
      <family val="0"/>
      <charset val="1"/>
    </font>
    <font>
      <b val="true"/>
      <sz val="9.5"/>
      <color rgb="FFFFFFFF"/>
      <name val="Calibri"/>
      <family val="0"/>
      <charset val="1"/>
    </font>
    <font>
      <b val="true"/>
      <sz val="9.5"/>
      <color rgb="FF6B1F2E"/>
      <name val="Calibri"/>
      <family val="0"/>
      <charset val="1"/>
    </font>
    <font>
      <sz val="9.5"/>
      <color rgb="FF1A1A1A"/>
      <name val="Calibri"/>
      <family val="0"/>
      <charset val="1"/>
    </font>
    <font>
      <b val="true"/>
      <sz val="9.5"/>
      <color rgb="FF3A3F4A"/>
      <name val="Calibri"/>
      <family val="0"/>
      <charset val="1"/>
    </font>
    <font>
      <b val="true"/>
      <sz val="10"/>
      <color rgb="FF6B1F2E"/>
      <name val="Calibri"/>
      <family val="0"/>
      <charset val="1"/>
    </font>
    <font>
      <b val="true"/>
      <sz val="9"/>
      <color rgb="FFFFFFFF"/>
      <name val="Calibri"/>
      <family val="0"/>
      <charset val="1"/>
    </font>
    <font>
      <b val="true"/>
      <sz val="9"/>
      <color rgb="FF3A3F4A"/>
      <name val="Calibri"/>
      <family val="0"/>
      <charset val="1"/>
    </font>
    <font>
      <b val="true"/>
      <sz val="9"/>
      <color rgb="FFC0392B"/>
      <name val="Calibri"/>
      <family val="0"/>
      <charset val="1"/>
    </font>
    <font>
      <b val="true"/>
      <sz val="8.5"/>
      <color rgb="FFFFFFFF"/>
      <name val="Calibri"/>
      <family val="0"/>
      <charset val="1"/>
    </font>
    <font>
      <b val="true"/>
      <sz val="10"/>
      <color rgb="FF1A1A1A"/>
      <name val="Calibri"/>
      <family val="0"/>
      <charset val="1"/>
    </font>
    <font>
      <sz val="9"/>
      <color rgb="FF5C6470"/>
      <name val="Calibri"/>
      <family val="0"/>
      <charset val="1"/>
    </font>
    <font>
      <sz val="10"/>
      <name val="Arial"/>
      <family val="2"/>
    </font>
    <font>
      <b val="true"/>
      <sz val="17"/>
      <color rgb="FFFFFFFF"/>
      <name val="Calibri"/>
      <family val="0"/>
      <charset val="1"/>
    </font>
    <font>
      <b val="true"/>
      <sz val="10"/>
      <color rgb="FF1F4E79"/>
      <name val="Calibri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6B1F2E"/>
        <bgColor rgb="FF800000"/>
      </patternFill>
    </fill>
    <fill>
      <patternFill patternType="solid">
        <fgColor rgb="FF3A3F4A"/>
        <bgColor rgb="FF1F4E79"/>
      </patternFill>
    </fill>
    <fill>
      <patternFill patternType="solid">
        <fgColor rgb="FFFFF6E3"/>
        <bgColor rgb="FFFBF0DD"/>
      </patternFill>
    </fill>
    <fill>
      <patternFill patternType="solid">
        <fgColor rgb="FFFFFFFF"/>
        <bgColor rgb="FFFCFCFD"/>
      </patternFill>
    </fill>
    <fill>
      <patternFill patternType="solid">
        <fgColor rgb="FFF2F3F5"/>
        <bgColor rgb="FFF6EFF0"/>
      </patternFill>
    </fill>
    <fill>
      <patternFill patternType="solid">
        <fgColor rgb="FFB07D3A"/>
        <bgColor rgb="FF878787"/>
      </patternFill>
    </fill>
    <fill>
      <patternFill patternType="solid">
        <fgColor rgb="FF5A6172"/>
        <bgColor rgb="FF5C6470"/>
      </patternFill>
    </fill>
    <fill>
      <patternFill patternType="solid">
        <fgColor rgb="FFFCFCFD"/>
        <bgColor rgb="FFFFFFFF"/>
      </patternFill>
    </fill>
    <fill>
      <patternFill patternType="solid">
        <fgColor rgb="FFF6EFF0"/>
        <bgColor rgb="FFF2F3F5"/>
      </patternFill>
    </fill>
    <fill>
      <patternFill patternType="solid">
        <fgColor rgb="FFDCE0E7"/>
        <bgColor rgb="FFE4DCE6"/>
      </patternFill>
    </fill>
    <fill>
      <patternFill patternType="solid">
        <fgColor rgb="FFE4DCE6"/>
        <bgColor rgb="FFDCE0E7"/>
      </patternFill>
    </fill>
    <fill>
      <patternFill patternType="solid">
        <fgColor rgb="FFF7DDD9"/>
        <bgColor rgb="FFE4DCE6"/>
      </patternFill>
    </fill>
  </fills>
  <borders count="11">
    <border diagonalUp="false" diagonalDown="false">
      <left/>
      <right/>
      <top/>
      <bottom/>
      <diagonal/>
    </border>
    <border diagonalUp="false" diagonalDown="false">
      <left/>
      <right/>
      <top/>
      <bottom style="medium">
        <color rgb="FFB07D3A"/>
      </bottom>
      <diagonal/>
    </border>
    <border diagonalUp="false" diagonalDown="false">
      <left style="thin">
        <color rgb="FFAEB4C0"/>
      </left>
      <right style="thin">
        <color rgb="FFAEB4C0"/>
      </right>
      <top style="thin">
        <color rgb="FFAEB4C0"/>
      </top>
      <bottom style="thin">
        <color rgb="FFAEB4C0"/>
      </bottom>
      <diagonal/>
    </border>
    <border diagonalUp="false" diagonalDown="false">
      <left/>
      <right/>
      <top/>
      <bottom style="hair">
        <color rgb="FFAEB4C0"/>
      </bottom>
      <diagonal/>
    </border>
    <border diagonalUp="false" diagonalDown="false">
      <left style="thick">
        <color rgb="FFFFFFFF"/>
      </left>
      <right/>
      <top/>
      <bottom/>
      <diagonal/>
    </border>
    <border diagonalUp="false" diagonalDown="false">
      <left/>
      <right style="thick">
        <color rgb="FFFFFFFF"/>
      </right>
      <top/>
      <bottom/>
      <diagonal/>
    </border>
    <border diagonalUp="false" diagonalDown="false">
      <left style="thick">
        <color rgb="FFFFFFFF"/>
      </left>
      <right style="thick">
        <color rgb="FFFFFFFF"/>
      </right>
      <top/>
      <bottom/>
      <diagonal/>
    </border>
    <border diagonalUp="false" diagonalDown="false">
      <left style="thick">
        <color rgb="FFFFFFFF"/>
      </left>
      <right style="thick">
        <color rgb="FFFFFFFF"/>
      </right>
      <top/>
      <bottom style="thin">
        <color rgb="FFAEB4C0"/>
      </bottom>
      <diagonal/>
    </border>
    <border diagonalUp="false" diagonalDown="false">
      <left style="hair">
        <color rgb="FFAEB4C0"/>
      </left>
      <right style="hair">
        <color rgb="FFAEB4C0"/>
      </right>
      <top/>
      <bottom style="hair">
        <color rgb="FFAEB4C0"/>
      </bottom>
      <diagonal/>
    </border>
    <border diagonalUp="false" diagonalDown="false">
      <left/>
      <right/>
      <top style="thin">
        <color rgb="FFB07D3A"/>
      </top>
      <bottom style="thin">
        <color rgb="FFB07D3A"/>
      </bottom>
      <diagonal/>
    </border>
    <border diagonalUp="false" diagonalDown="false">
      <left style="thin">
        <color rgb="FFAEB4C0"/>
      </left>
      <right/>
      <top style="thin">
        <color rgb="FFAEB4C0"/>
      </top>
      <bottom style="thin">
        <color rgb="FFAEB4C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3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false" indent="1" shrinkToFit="false"/>
      <protection locked="true" hidden="false"/>
    </xf>
    <xf numFmtId="165" fontId="7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9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0" fillId="5" borderId="3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11" fillId="5" borderId="3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10" fillId="6" borderId="3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11" fillId="6" borderId="3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0" fillId="3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7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7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7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6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3" fillId="6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3" fillId="6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3" fillId="6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6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5" fillId="8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16" fillId="9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9" borderId="8" xfId="0" applyFont="true" applyBorder="true" applyAlignment="true" applyProtection="false">
      <alignment horizontal="general" vertical="center" textRotation="0" wrapText="true" indent="1" shrinkToFit="false"/>
      <protection locked="true" hidden="false"/>
    </xf>
    <xf numFmtId="164" fontId="17" fillId="9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9" borderId="8" xfId="0" applyFont="true" applyBorder="true" applyAlignment="true" applyProtection="false">
      <alignment horizontal="general" vertical="center" textRotation="0" wrapText="true" indent="1" shrinkToFit="false"/>
      <protection locked="true" hidden="false"/>
    </xf>
    <xf numFmtId="170" fontId="17" fillId="9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18" fillId="9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6" fillId="6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6" borderId="8" xfId="0" applyFont="true" applyBorder="true" applyAlignment="true" applyProtection="false">
      <alignment horizontal="general" vertical="center" textRotation="0" wrapText="true" indent="1" shrinkToFit="false"/>
      <protection locked="true" hidden="false"/>
    </xf>
    <xf numFmtId="164" fontId="17" fillId="6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6" borderId="8" xfId="0" applyFont="true" applyBorder="true" applyAlignment="true" applyProtection="false">
      <alignment horizontal="general" vertical="center" textRotation="0" wrapText="true" indent="1" shrinkToFit="false"/>
      <protection locked="true" hidden="false"/>
    </xf>
    <xf numFmtId="170" fontId="17" fillId="6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18" fillId="6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10" borderId="9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70" fontId="19" fillId="1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10" borderId="9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20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3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11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1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7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13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9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3" fillId="8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4" fillId="0" borderId="3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25" fillId="0" borderId="3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15" fillId="8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7" fillId="5" borderId="3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17" fillId="6" borderId="3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14" fillId="0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7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5" fillId="8" borderId="1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11" fillId="0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70" fontId="11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1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6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70" fontId="11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1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10" borderId="9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8" fontId="19" fillId="1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1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8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1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8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10" fillId="0" borderId="3" xfId="0" applyFont="true" applyBorder="true" applyAlignment="true" applyProtection="false">
      <alignment horizontal="general" vertical="center" textRotation="0" wrapText="true" indent="1" shrinkToFit="false"/>
      <protection locked="true" hidden="false"/>
    </xf>
    <xf numFmtId="164" fontId="11" fillId="0" borderId="3" xfId="0" applyFont="true" applyBorder="true" applyAlignment="true" applyProtection="false">
      <alignment horizontal="general" vertical="center" textRotation="0" wrapText="true" indent="1" shrinkToFit="false"/>
      <protection locked="true" hidden="false"/>
    </xf>
    <xf numFmtId="164" fontId="9" fillId="7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5" fillId="8" borderId="0" xfId="0" applyFont="true" applyBorder="false" applyAlignment="true" applyProtection="false">
      <alignment horizontal="left" vertical="center" textRotation="0" wrapText="true" indent="1" shrinkToFit="false"/>
      <protection locked="true" hidden="false"/>
    </xf>
    <xf numFmtId="164" fontId="11" fillId="0" borderId="3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top" textRotation="0" wrapText="tru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0">
    <dxf>
      <font>
        <name val="Calibri"/>
        <charset val="1"/>
        <family val="0"/>
        <b val="1"/>
        <color rgb="FFFFFFFF"/>
        <sz val="9"/>
      </font>
      <fill>
        <patternFill>
          <bgColor rgb="FF3A3F4A"/>
        </patternFill>
      </fill>
    </dxf>
    <dxf>
      <font>
        <name val="Calibri"/>
        <charset val="1"/>
        <family val="0"/>
        <b val="1"/>
        <color rgb="FF3A3F4A"/>
        <sz val="9"/>
      </font>
      <fill>
        <patternFill>
          <bgColor rgb="FFDCE0E7"/>
        </patternFill>
      </fill>
    </dxf>
    <dxf>
      <font>
        <name val="Calibri"/>
        <charset val="1"/>
        <family val="0"/>
        <b val="1"/>
        <color rgb="FF3A3F4A"/>
        <sz val="9"/>
      </font>
      <fill>
        <patternFill>
          <bgColor rgb="FFE4DCE6"/>
        </patternFill>
      </fill>
    </dxf>
    <dxf>
      <font>
        <name val="Calibri"/>
        <charset val="1"/>
        <family val="0"/>
        <b val="1"/>
        <color rgb="FFFFFFFF"/>
        <sz val="9"/>
      </font>
      <fill>
        <patternFill>
          <bgColor rgb="FFB07D3A"/>
        </patternFill>
      </fill>
    </dxf>
    <dxf>
      <font>
        <name val="Calibri"/>
        <charset val="1"/>
        <family val="0"/>
        <b val="1"/>
        <color rgb="FFC0392B"/>
        <sz val="9"/>
      </font>
      <fill>
        <patternFill>
          <bgColor rgb="FFF7DDD9"/>
        </patternFill>
      </fill>
    </dxf>
    <dxf>
      <font>
        <name val="Calibri"/>
        <charset val="1"/>
        <family val="0"/>
        <b val="1"/>
        <color rgb="FF8A5A1E"/>
        <sz val="9"/>
      </font>
      <fill>
        <patternFill>
          <bgColor rgb="FFFBF0DD"/>
        </patternFill>
      </fill>
    </dxf>
    <dxf>
      <font>
        <name val="Calibri"/>
        <charset val="1"/>
        <family val="0"/>
        <b val="1"/>
        <color rgb="FF5C6470"/>
        <sz val="9"/>
      </font>
      <fill>
        <patternFill>
          <bgColor rgb="FFEDEFF2"/>
        </patternFill>
      </fill>
    </dxf>
    <dxf>
      <font>
        <name val="Calibri"/>
        <charset val="1"/>
        <family val="0"/>
        <b val="1"/>
        <color rgb="FFC0392B"/>
        <sz val="9"/>
      </font>
    </dxf>
    <dxf>
      <fill>
        <patternFill>
          <bgColor rgb="FFF7DDD9"/>
        </patternFill>
      </fill>
    </dxf>
    <dxf>
      <font>
        <name val="Calibri"/>
        <charset val="1"/>
        <family val="0"/>
        <b val="1"/>
        <color rgb="FFC0392B"/>
        <sz val="10"/>
      </font>
      <fill>
        <patternFill>
          <bgColor rgb="FFF7DD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A5A1E"/>
      <rgbColor rgb="FF800080"/>
      <rgbColor rgb="FF008080"/>
      <rgbColor rgb="FFAEB4C0"/>
      <rgbColor rgb="FF878787"/>
      <rgbColor rgb="FF9999FF"/>
      <rgbColor rgb="FF993366"/>
      <rgbColor rgb="FFFFF6E3"/>
      <rgbColor rgb="FFEDEFF2"/>
      <rgbColor rgb="FF6B1F2E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3F5"/>
      <rgbColor rgb="FFDCE0E7"/>
      <rgbColor rgb="FFFBF0DD"/>
      <rgbColor rgb="FFE4DCE6"/>
      <rgbColor rgb="FFF6EFF0"/>
      <rgbColor rgb="FFFCFCFD"/>
      <rgbColor rgb="FFF7DDD9"/>
      <rgbColor rgb="FF3366FF"/>
      <rgbColor rgb="FF33CCCC"/>
      <rgbColor rgb="FF99CC00"/>
      <rgbColor rgb="FFFFCC00"/>
      <rgbColor rgb="FFFF9900"/>
      <rgbColor rgb="FFFF6600"/>
      <rgbColor rgb="FF5C6470"/>
      <rgbColor rgb="FFB07D3A"/>
      <rgbColor rgb="FF003366"/>
      <rgbColor rgb="FF5A6172"/>
      <rgbColor rgb="FF003300"/>
      <rgbColor rgb="FF1A1A1A"/>
      <rgbColor rgb="FFC0392B"/>
      <rgbColor rgb="FF993366"/>
      <rgbColor rgb="FF1F4E79"/>
      <rgbColor rgb="FF3A3F4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Bearbeitungs- und Wartezeit je Prozessphase (Min)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stacked"/>
        <c:varyColors val="0"/>
        <c:ser>
          <c:idx val="0"/>
          <c:order val="0"/>
          <c:tx>
            <c:strRef>
              <c:f>Prozessanalyse!D15</c:f>
              <c:strCache>
                <c:ptCount val="1"/>
                <c:pt idx="0">
                  <c:v>Bearbeitung (Min)</c:v>
                </c:pt>
              </c:strCache>
            </c:strRef>
          </c:tx>
          <c:spPr>
            <a:solidFill>
              <a:srgbClr val="3a3f4a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Prozessanalyse!$B$16:$B$20</c:f>
              <c:strCache>
                <c:ptCount val="5"/>
                <c:pt idx="0">
                  <c:v>1 · Bedarf</c:v>
                </c:pt>
                <c:pt idx="1">
                  <c:v>2 · Freigabe</c:v>
                </c:pt>
                <c:pt idx="2">
                  <c:v>3 · Bestellung</c:v>
                </c:pt>
                <c:pt idx="3">
                  <c:v>4 · Wareneingang</c:v>
                </c:pt>
                <c:pt idx="4">
                  <c:v>5 · Abschluss</c:v>
                </c:pt>
              </c:strCache>
            </c:strRef>
          </c:cat>
          <c:val>
            <c:numRef>
              <c:f>Prozessanalyse!$D$16:$D$20</c:f>
              <c:numCache>
                <c:formatCode>#,##0;\-#,##0;\–</c:formatCode>
                <c:ptCount val="5"/>
                <c:pt idx="0">
                  <c:v>40</c:v>
                </c:pt>
                <c:pt idx="1">
                  <c:v>125</c:v>
                </c:pt>
                <c:pt idx="2">
                  <c:v>55</c:v>
                </c:pt>
                <c:pt idx="3">
                  <c:v>105</c:v>
                </c:pt>
                <c:pt idx="4">
                  <c:v>45</c:v>
                </c:pt>
              </c:numCache>
            </c:numRef>
          </c:val>
        </c:ser>
        <c:ser>
          <c:idx val="1"/>
          <c:order val="1"/>
          <c:tx>
            <c:strRef>
              <c:f>Prozessanalyse!E15</c:f>
              <c:strCache>
                <c:ptCount val="1"/>
                <c:pt idx="0">
                  <c:v>Wartezeit (Min)</c:v>
                </c:pt>
              </c:strCache>
            </c:strRef>
          </c:tx>
          <c:spPr>
            <a:solidFill>
              <a:srgbClr val="b07d3a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Prozessanalyse!$B$16:$B$20</c:f>
              <c:strCache>
                <c:ptCount val="5"/>
                <c:pt idx="0">
                  <c:v>1 · Bedarf</c:v>
                </c:pt>
                <c:pt idx="1">
                  <c:v>2 · Freigabe</c:v>
                </c:pt>
                <c:pt idx="2">
                  <c:v>3 · Bestellung</c:v>
                </c:pt>
                <c:pt idx="3">
                  <c:v>4 · Wareneingang</c:v>
                </c:pt>
                <c:pt idx="4">
                  <c:v>5 · Abschluss</c:v>
                </c:pt>
              </c:strCache>
            </c:strRef>
          </c:cat>
          <c:val>
            <c:numRef>
              <c:f>Prozessanalyse!$E$16:$E$20</c:f>
              <c:numCache>
                <c:formatCode>#,##0;\-#,##0;\–</c:formatCode>
                <c:ptCount val="5"/>
                <c:pt idx="0">
                  <c:v>240</c:v>
                </c:pt>
                <c:pt idx="1">
                  <c:v>4320</c:v>
                </c:pt>
                <c:pt idx="2">
                  <c:v>720</c:v>
                </c:pt>
                <c:pt idx="3">
                  <c:v>4320</c:v>
                </c:pt>
                <c:pt idx="4">
                  <c:v>720</c:v>
                </c:pt>
              </c:numCache>
            </c:numRef>
          </c:val>
        </c:ser>
        <c:gapWidth val="60"/>
        <c:overlap val="100"/>
        <c:axId val="22964707"/>
        <c:axId val="66948823"/>
      </c:barChart>
      <c:catAx>
        <c:axId val="229647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66948823"/>
        <c:crosses val="autoZero"/>
        <c:auto val="1"/>
        <c:lblAlgn val="ctr"/>
        <c:lblOffset val="100"/>
        <c:noMultiLvlLbl val="0"/>
      </c:catAx>
      <c:valAx>
        <c:axId val="66948823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,##0;\-#,##0;\–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22964707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Bearbeitungszeit je Verantwortlichkeit (Min)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bar"/>
        <c:grouping val="clustered"/>
        <c:varyColors val="0"/>
        <c:ser>
          <c:idx val="0"/>
          <c:order val="0"/>
          <c:tx>
            <c:strRef>
              <c:f>Prozessanalyse!D24</c:f>
              <c:strCache>
                <c:ptCount val="1"/>
                <c:pt idx="0">
                  <c:v>Bearbeitung (Min)</c:v>
                </c:pt>
              </c:strCache>
            </c:strRef>
          </c:tx>
          <c:spPr>
            <a:solidFill>
              <a:srgbClr val="6b1f2e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Prozessanalyse!$B$25:$B$32</c:f>
              <c:strCache>
                <c:ptCount val="8"/>
                <c:pt idx="0">
                  <c:v>Fachbereich / Bedarfsträger</c:v>
                </c:pt>
                <c:pt idx="1">
                  <c:v>Einkauf</c:v>
                </c:pt>
                <c:pt idx="2">
                  <c:v>Kostenstellenleitung</c:v>
                </c:pt>
                <c:pt idx="3">
                  <c:v>Geschäftsleitung</c:v>
                </c:pt>
                <c:pt idx="4">
                  <c:v>Wareneingang / Lager</c:v>
                </c:pt>
                <c:pt idx="5">
                  <c:v>Qualitätssicherung</c:v>
                </c:pt>
                <c:pt idx="6">
                  <c:v>Buchhaltung</c:v>
                </c:pt>
                <c:pt idx="7">
                  <c:v>Externe/r Lieferant</c:v>
                </c:pt>
              </c:strCache>
            </c:strRef>
          </c:cat>
          <c:val>
            <c:numRef>
              <c:f>Prozessanalyse!$D$25:$D$32</c:f>
              <c:numCache>
                <c:formatCode>#,##0;\-#,##0;\–</c:formatCode>
                <c:ptCount val="8"/>
                <c:pt idx="0">
                  <c:v>20</c:v>
                </c:pt>
                <c:pt idx="1">
                  <c:v>215</c:v>
                </c:pt>
                <c:pt idx="2">
                  <c:v>35</c:v>
                </c:pt>
                <c:pt idx="3">
                  <c:v>10</c:v>
                </c:pt>
                <c:pt idx="4">
                  <c:v>20</c:v>
                </c:pt>
                <c:pt idx="5">
                  <c:v>35</c:v>
                </c:pt>
                <c:pt idx="6">
                  <c:v>35</c:v>
                </c:pt>
                <c:pt idx="7">
                  <c:v>0</c:v>
                </c:pt>
              </c:numCache>
            </c:numRef>
          </c:val>
        </c:ser>
        <c:gapWidth val="45"/>
        <c:overlap val="0"/>
        <c:axId val="86172609"/>
        <c:axId val="67054945"/>
      </c:barChart>
      <c:catAx>
        <c:axId val="8617260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67054945"/>
        <c:crosses val="autoZero"/>
        <c:auto val="1"/>
        <c:lblAlgn val="ctr"/>
        <c:lblOffset val="100"/>
        <c:noMultiLvlLbl val="0"/>
      </c:catAx>
      <c:valAx>
        <c:axId val="67054945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,##0;\-#,##0;\–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86172609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54</xdr:row>
      <xdr:rowOff>0</xdr:rowOff>
    </xdr:from>
    <xdr:to>
      <xdr:col>6</xdr:col>
      <xdr:colOff>339840</xdr:colOff>
      <xdr:row>68</xdr:row>
      <xdr:rowOff>68760</xdr:rowOff>
    </xdr:to>
    <xdr:graphicFrame>
      <xdr:nvGraphicFramePr>
        <xdr:cNvPr id="0" name="Chart 1"/>
        <xdr:cNvGraphicFramePr/>
      </xdr:nvGraphicFramePr>
      <xdr:xfrm>
        <a:off x="141120" y="12239640"/>
        <a:ext cx="6119640" cy="2735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70</xdr:row>
      <xdr:rowOff>0</xdr:rowOff>
    </xdr:from>
    <xdr:to>
      <xdr:col>6</xdr:col>
      <xdr:colOff>339840</xdr:colOff>
      <xdr:row>84</xdr:row>
      <xdr:rowOff>68760</xdr:rowOff>
    </xdr:to>
    <xdr:graphicFrame>
      <xdr:nvGraphicFramePr>
        <xdr:cNvPr id="1" name="Chart 2"/>
        <xdr:cNvGraphicFramePr/>
      </xdr:nvGraphicFramePr>
      <xdr:xfrm>
        <a:off x="141120" y="15287760"/>
        <a:ext cx="6119640" cy="2735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6B1F2E"/>
    <pageSetUpPr fitToPage="true"/>
  </sheetPr>
  <dimension ref="B2:R62"/>
  <sheetViews>
    <sheetView showFormulas="false" showGridLines="false" showRowColHeaders="true" showZeros="true" rightToLeft="false" tabSelected="true" showOutlineSymbols="true" defaultGridColor="true" view="normal" topLeftCell="A22" colorId="64" zoomScale="100" zoomScaleNormal="100" zoomScalePageLayoutView="100" workbookViewId="0">
      <pane xSplit="5" ySplit="0" topLeftCell="F22" activePane="topRight" state="frozen"/>
      <selection pane="topLeft" activeCell="A22" activeCellId="0" sqref="A22"/>
      <selection pane="top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5"/>
    <col collapsed="false" customWidth="true" hidden="false" outlineLevel="0" max="3" min="3" style="0" width="15"/>
    <col collapsed="false" customWidth="true" hidden="false" outlineLevel="0" max="4" min="4" style="0" width="13"/>
    <col collapsed="false" customWidth="true" hidden="false" outlineLevel="0" max="5" min="5" style="0" width="27"/>
    <col collapsed="false" customWidth="true" hidden="false" outlineLevel="0" max="6" min="6" style="0" width="34"/>
    <col collapsed="false" customWidth="true" hidden="false" outlineLevel="0" max="7" min="7" style="0" width="21"/>
    <col collapsed="false" customWidth="true" hidden="false" outlineLevel="0" max="8" min="8" style="0" width="19"/>
    <col collapsed="false" customWidth="true" hidden="false" outlineLevel="0" max="10" min="9" style="0" width="20"/>
    <col collapsed="false" customWidth="true" hidden="false" outlineLevel="0" max="12" min="11" style="0" width="19"/>
    <col collapsed="false" customWidth="true" hidden="false" outlineLevel="0" max="14" min="13" style="0" width="10"/>
    <col collapsed="false" customWidth="true" hidden="false" outlineLevel="0" max="15" min="15" style="0" width="12"/>
    <col collapsed="false" customWidth="true" hidden="false" outlineLevel="0" max="16" min="16" style="0" width="15"/>
    <col collapsed="false" customWidth="true" hidden="false" outlineLevel="0" max="17" min="17" style="0" width="11"/>
    <col collapsed="false" customWidth="true" hidden="false" outlineLevel="0" max="18" min="18" style="0" width="26"/>
    <col collapsed="false" customWidth="true" hidden="false" outlineLevel="0" max="19" min="19" style="0" width="2"/>
  </cols>
  <sheetData>
    <row r="2" customFormat="false" ht="33.75" hidden="false" customHeight="true" outlineLevel="0" collapsed="false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customFormat="false" ht="18.75" hidden="false" customHeight="true" outlineLevel="0" collapsed="false">
      <c r="B3" s="2" t="str">
        <f aca="false">$D$7&amp;"   ·   Prozess-ID "&amp;$D$8&amp;"   ·   Version "&amp;$D$9&amp;"   ·   gültig ab "&amp;$D$10&amp;"   ·   Stand "&amp;$C$4</f>
        <v>Beschaffung von Material und Dienstleistungen   ·   Prozess-ID PB-2026-042   ·   Version 2.1   ·   gültig ab 01.03.2026   ·   Stand 2026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customFormat="false" ht="19.5" hidden="false" customHeight="true" outlineLevel="0" collapsed="false">
      <c r="B4" s="3" t="s">
        <v>1</v>
      </c>
      <c r="C4" s="4" t="n">
        <v>2026</v>
      </c>
      <c r="M4" s="5" t="s">
        <v>2</v>
      </c>
      <c r="N4" s="5"/>
      <c r="O4" s="5"/>
      <c r="P4" s="5"/>
      <c r="Q4" s="5"/>
      <c r="R4" s="5"/>
    </row>
    <row r="6" customFormat="false" ht="19.5" hidden="false" customHeight="true" outlineLevel="0" collapsed="false">
      <c r="B6" s="6" t="s">
        <v>3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customFormat="false" ht="18.75" hidden="false" customHeight="true" outlineLevel="0" collapsed="false">
      <c r="B7" s="7" t="s">
        <v>4</v>
      </c>
      <c r="C7" s="7"/>
      <c r="D7" s="8" t="s">
        <v>5</v>
      </c>
      <c r="E7" s="8"/>
      <c r="F7" s="8"/>
      <c r="G7" s="8"/>
      <c r="H7" s="8"/>
      <c r="I7" s="7" t="s">
        <v>6</v>
      </c>
      <c r="J7" s="7"/>
      <c r="K7" s="8" t="s">
        <v>7</v>
      </c>
      <c r="L7" s="8"/>
      <c r="M7" s="8"/>
      <c r="N7" s="8"/>
      <c r="O7" s="8"/>
      <c r="P7" s="8"/>
      <c r="Q7" s="8"/>
      <c r="R7" s="8"/>
    </row>
    <row r="8" customFormat="false" ht="18.75" hidden="false" customHeight="true" outlineLevel="0" collapsed="false">
      <c r="B8" s="9" t="s">
        <v>8</v>
      </c>
      <c r="C8" s="9"/>
      <c r="D8" s="10" t="s">
        <v>9</v>
      </c>
      <c r="E8" s="10"/>
      <c r="F8" s="10"/>
      <c r="G8" s="10"/>
      <c r="H8" s="10"/>
      <c r="I8" s="9" t="s">
        <v>10</v>
      </c>
      <c r="J8" s="9"/>
      <c r="K8" s="10" t="s">
        <v>11</v>
      </c>
      <c r="L8" s="10"/>
      <c r="M8" s="10"/>
      <c r="N8" s="10"/>
      <c r="O8" s="10"/>
      <c r="P8" s="10"/>
      <c r="Q8" s="10"/>
      <c r="R8" s="10"/>
    </row>
    <row r="9" customFormat="false" ht="18.75" hidden="false" customHeight="true" outlineLevel="0" collapsed="false">
      <c r="B9" s="7" t="s">
        <v>12</v>
      </c>
      <c r="C9" s="7"/>
      <c r="D9" s="8" t="s">
        <v>13</v>
      </c>
      <c r="E9" s="8"/>
      <c r="F9" s="8"/>
      <c r="G9" s="8"/>
      <c r="H9" s="8"/>
      <c r="I9" s="7" t="s">
        <v>14</v>
      </c>
      <c r="J9" s="7"/>
      <c r="K9" s="8" t="s">
        <v>15</v>
      </c>
      <c r="L9" s="8"/>
      <c r="M9" s="8"/>
      <c r="N9" s="8"/>
      <c r="O9" s="8"/>
      <c r="P9" s="8"/>
      <c r="Q9" s="8"/>
      <c r="R9" s="8"/>
    </row>
    <row r="10" customFormat="false" ht="18.75" hidden="false" customHeight="true" outlineLevel="0" collapsed="false">
      <c r="B10" s="9" t="s">
        <v>16</v>
      </c>
      <c r="C10" s="9"/>
      <c r="D10" s="10" t="s">
        <v>17</v>
      </c>
      <c r="E10" s="10"/>
      <c r="F10" s="10"/>
      <c r="G10" s="10"/>
      <c r="H10" s="10"/>
      <c r="I10" s="9" t="s">
        <v>18</v>
      </c>
      <c r="J10" s="9"/>
      <c r="K10" s="10" t="s">
        <v>19</v>
      </c>
      <c r="L10" s="10"/>
      <c r="M10" s="10"/>
      <c r="N10" s="10"/>
      <c r="O10" s="10"/>
      <c r="P10" s="10"/>
      <c r="Q10" s="10"/>
      <c r="R10" s="10"/>
    </row>
    <row r="11" customFormat="false" ht="18.75" hidden="false" customHeight="true" outlineLevel="0" collapsed="false">
      <c r="B11" s="7" t="s">
        <v>20</v>
      </c>
      <c r="C11" s="7"/>
      <c r="D11" s="8" t="s">
        <v>21</v>
      </c>
      <c r="E11" s="8"/>
      <c r="F11" s="8"/>
      <c r="G11" s="8"/>
      <c r="H11" s="8"/>
      <c r="I11" s="7" t="s">
        <v>22</v>
      </c>
      <c r="J11" s="7"/>
      <c r="K11" s="8" t="s">
        <v>23</v>
      </c>
      <c r="L11" s="8"/>
      <c r="M11" s="8"/>
      <c r="N11" s="8"/>
      <c r="O11" s="8"/>
      <c r="P11" s="8"/>
      <c r="Q11" s="8"/>
      <c r="R11" s="8"/>
    </row>
    <row r="12" customFormat="false" ht="18.75" hidden="false" customHeight="true" outlineLevel="0" collapsed="false">
      <c r="B12" s="9" t="s">
        <v>24</v>
      </c>
      <c r="C12" s="9"/>
      <c r="D12" s="10" t="s">
        <v>25</v>
      </c>
      <c r="E12" s="10"/>
      <c r="F12" s="10"/>
      <c r="G12" s="10"/>
      <c r="H12" s="10"/>
      <c r="I12" s="9" t="s">
        <v>26</v>
      </c>
      <c r="J12" s="9"/>
      <c r="K12" s="10" t="s">
        <v>27</v>
      </c>
      <c r="L12" s="10"/>
      <c r="M12" s="10"/>
      <c r="N12" s="10"/>
      <c r="O12" s="10"/>
      <c r="P12" s="10"/>
      <c r="Q12" s="10"/>
      <c r="R12" s="10"/>
    </row>
    <row r="13" customFormat="false" ht="18.75" hidden="false" customHeight="true" outlineLevel="0" collapsed="false">
      <c r="B13" s="7" t="s">
        <v>28</v>
      </c>
      <c r="C13" s="7"/>
      <c r="D13" s="8" t="s">
        <v>29</v>
      </c>
      <c r="E13" s="8"/>
      <c r="F13" s="8"/>
      <c r="G13" s="8"/>
      <c r="H13" s="8"/>
      <c r="I13" s="7" t="s">
        <v>30</v>
      </c>
      <c r="J13" s="7"/>
      <c r="K13" s="8" t="s">
        <v>31</v>
      </c>
      <c r="L13" s="8"/>
      <c r="M13" s="8"/>
      <c r="N13" s="8"/>
      <c r="O13" s="8"/>
      <c r="P13" s="8"/>
      <c r="Q13" s="8"/>
      <c r="R13" s="8"/>
    </row>
    <row r="15" customFormat="false" ht="4.5" hidden="false" customHeight="true" outlineLevel="0" collapsed="false">
      <c r="B15" s="11"/>
      <c r="C15" s="12"/>
      <c r="D15" s="12"/>
      <c r="E15" s="13"/>
      <c r="F15" s="11"/>
      <c r="G15" s="12"/>
      <c r="H15" s="13"/>
      <c r="I15" s="11"/>
      <c r="J15" s="12"/>
      <c r="K15" s="13"/>
      <c r="L15" s="11"/>
      <c r="M15" s="12"/>
      <c r="N15" s="12"/>
      <c r="O15" s="13"/>
      <c r="P15" s="14"/>
      <c r="Q15" s="15"/>
      <c r="R15" s="16"/>
    </row>
    <row r="16" customFormat="false" ht="15" hidden="false" customHeight="true" outlineLevel="0" collapsed="false">
      <c r="B16" s="17" t="s">
        <v>32</v>
      </c>
      <c r="C16" s="17"/>
      <c r="D16" s="17"/>
      <c r="E16" s="17"/>
      <c r="F16" s="17" t="s">
        <v>33</v>
      </c>
      <c r="G16" s="17"/>
      <c r="H16" s="17"/>
      <c r="I16" s="17" t="s">
        <v>34</v>
      </c>
      <c r="J16" s="17"/>
      <c r="K16" s="17"/>
      <c r="L16" s="17" t="s">
        <v>35</v>
      </c>
      <c r="M16" s="17"/>
      <c r="N16" s="17"/>
      <c r="O16" s="17"/>
      <c r="P16" s="17" t="s">
        <v>36</v>
      </c>
      <c r="Q16" s="17"/>
      <c r="R16" s="17"/>
    </row>
    <row r="17" customFormat="false" ht="27" hidden="false" customHeight="true" outlineLevel="0" collapsed="false">
      <c r="B17" s="18" t="n">
        <f aca="false">SUMPRODUCT(--(P_Taetigkeit&lt;&gt;""))</f>
        <v>19</v>
      </c>
      <c r="C17" s="18"/>
      <c r="D17" s="18"/>
      <c r="E17" s="18"/>
      <c r="F17" s="18" t="n">
        <f aca="false">COUNTIF(P_Typ,"Entscheidung")</f>
        <v>3</v>
      </c>
      <c r="G17" s="18"/>
      <c r="H17" s="18"/>
      <c r="I17" s="19" t="n">
        <f aca="false">SUM(P_Bearb)</f>
        <v>370</v>
      </c>
      <c r="J17" s="19"/>
      <c r="K17" s="19"/>
      <c r="L17" s="19" t="n">
        <f aca="false">SUM(P_Bearb)+SUM(P_Warte)</f>
        <v>10690</v>
      </c>
      <c r="M17" s="19"/>
      <c r="N17" s="19"/>
      <c r="O17" s="19"/>
      <c r="P17" s="20" t="n">
        <f aca="false">IFERROR(SUM(P_Bearb)/(SUM(P_Bearb)+SUM(P_Warte)),0)</f>
        <v>0.0346117867165575</v>
      </c>
      <c r="Q17" s="20"/>
      <c r="R17" s="20"/>
    </row>
    <row r="18" customFormat="false" ht="15" hidden="false" customHeight="true" outlineLevel="0" collapsed="false">
      <c r="B18" s="21" t="s">
        <v>37</v>
      </c>
      <c r="C18" s="21"/>
      <c r="D18" s="21"/>
      <c r="E18" s="21"/>
      <c r="F18" s="21" t="s">
        <v>38</v>
      </c>
      <c r="G18" s="21"/>
      <c r="H18" s="21"/>
      <c r="I18" s="21" t="s">
        <v>39</v>
      </c>
      <c r="J18" s="21"/>
      <c r="K18" s="21"/>
      <c r="L18" s="21" t="s">
        <v>40</v>
      </c>
      <c r="M18" s="21"/>
      <c r="N18" s="21"/>
      <c r="O18" s="21"/>
      <c r="P18" s="21" t="s">
        <v>41</v>
      </c>
      <c r="Q18" s="21"/>
      <c r="R18" s="21"/>
    </row>
    <row r="20" customFormat="false" ht="19.5" hidden="false" customHeight="true" outlineLevel="0" collapsed="false">
      <c r="B20" s="6" t="s">
        <v>42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</row>
    <row r="21" customFormat="false" ht="31.5" hidden="false" customHeight="true" outlineLevel="0" collapsed="false">
      <c r="B21" s="22" t="s">
        <v>43</v>
      </c>
      <c r="C21" s="22" t="s">
        <v>44</v>
      </c>
      <c r="D21" s="22" t="s">
        <v>45</v>
      </c>
      <c r="E21" s="22" t="s">
        <v>46</v>
      </c>
      <c r="F21" s="22" t="s">
        <v>47</v>
      </c>
      <c r="G21" s="22" t="s">
        <v>48</v>
      </c>
      <c r="H21" s="22" t="s">
        <v>49</v>
      </c>
      <c r="I21" s="22" t="s">
        <v>50</v>
      </c>
      <c r="J21" s="22" t="s">
        <v>51</v>
      </c>
      <c r="K21" s="22" t="s">
        <v>52</v>
      </c>
      <c r="L21" s="22" t="s">
        <v>53</v>
      </c>
      <c r="M21" s="22" t="s">
        <v>54</v>
      </c>
      <c r="N21" s="22" t="s">
        <v>55</v>
      </c>
      <c r="O21" s="22" t="s">
        <v>56</v>
      </c>
      <c r="P21" s="22" t="s">
        <v>57</v>
      </c>
      <c r="Q21" s="22" t="s">
        <v>58</v>
      </c>
      <c r="R21" s="22" t="s">
        <v>59</v>
      </c>
    </row>
    <row r="22" customFormat="false" ht="30" hidden="false" customHeight="true" outlineLevel="0" collapsed="false">
      <c r="B22" s="23" t="n">
        <f aca="false">IF($E22="","",COUNTA($E$22:$E22))</f>
        <v>1</v>
      </c>
      <c r="C22" s="24" t="s">
        <v>60</v>
      </c>
      <c r="D22" s="25" t="s">
        <v>61</v>
      </c>
      <c r="E22" s="26" t="s">
        <v>62</v>
      </c>
      <c r="F22" s="24" t="s">
        <v>63</v>
      </c>
      <c r="G22" s="24" t="s">
        <v>64</v>
      </c>
      <c r="H22" s="24" t="s">
        <v>65</v>
      </c>
      <c r="I22" s="24" t="s">
        <v>66</v>
      </c>
      <c r="J22" s="24" t="s">
        <v>67</v>
      </c>
      <c r="K22" s="24" t="s">
        <v>65</v>
      </c>
      <c r="L22" s="24" t="s">
        <v>65</v>
      </c>
      <c r="M22" s="27" t="n">
        <v>5</v>
      </c>
      <c r="N22" s="27" t="n">
        <v>0</v>
      </c>
      <c r="O22" s="28" t="n">
        <f aca="false">IF($E22="","",N(M22)+N(N22))</f>
        <v>5</v>
      </c>
      <c r="P22" s="25" t="s">
        <v>68</v>
      </c>
      <c r="Q22" s="25" t="s">
        <v>69</v>
      </c>
      <c r="R22" s="24" t="s">
        <v>65</v>
      </c>
    </row>
    <row r="23" customFormat="false" ht="30" hidden="false" customHeight="true" outlineLevel="0" collapsed="false">
      <c r="B23" s="29" t="n">
        <f aca="false">IF($E23="","",COUNTA($E$22:$E23))</f>
        <v>2</v>
      </c>
      <c r="C23" s="30" t="s">
        <v>60</v>
      </c>
      <c r="D23" s="31" t="s">
        <v>70</v>
      </c>
      <c r="E23" s="32" t="s">
        <v>71</v>
      </c>
      <c r="F23" s="30" t="s">
        <v>72</v>
      </c>
      <c r="G23" s="30" t="s">
        <v>64</v>
      </c>
      <c r="H23" s="30" t="s">
        <v>73</v>
      </c>
      <c r="I23" s="30" t="s">
        <v>67</v>
      </c>
      <c r="J23" s="30" t="s">
        <v>74</v>
      </c>
      <c r="K23" s="30" t="s">
        <v>75</v>
      </c>
      <c r="L23" s="30" t="s">
        <v>76</v>
      </c>
      <c r="M23" s="33" t="n">
        <v>15</v>
      </c>
      <c r="N23" s="33" t="n">
        <v>0</v>
      </c>
      <c r="O23" s="34" t="n">
        <f aca="false">IF($E23="","",N(O22)+N(M23)+N(N23))</f>
        <v>20</v>
      </c>
      <c r="P23" s="31" t="s">
        <v>77</v>
      </c>
      <c r="Q23" s="31" t="s">
        <v>78</v>
      </c>
      <c r="R23" s="30" t="s">
        <v>65</v>
      </c>
    </row>
    <row r="24" customFormat="false" ht="30" hidden="false" customHeight="true" outlineLevel="0" collapsed="false">
      <c r="B24" s="23" t="n">
        <f aca="false">IF($E24="","",COUNTA($E$22:$E24))</f>
        <v>3</v>
      </c>
      <c r="C24" s="24" t="s">
        <v>60</v>
      </c>
      <c r="D24" s="25" t="s">
        <v>79</v>
      </c>
      <c r="E24" s="26" t="s">
        <v>80</v>
      </c>
      <c r="F24" s="24" t="s">
        <v>81</v>
      </c>
      <c r="G24" s="24" t="s">
        <v>73</v>
      </c>
      <c r="H24" s="24" t="s">
        <v>64</v>
      </c>
      <c r="I24" s="24" t="s">
        <v>74</v>
      </c>
      <c r="J24" s="24" t="s">
        <v>82</v>
      </c>
      <c r="K24" s="24" t="s">
        <v>83</v>
      </c>
      <c r="L24" s="24" t="s">
        <v>84</v>
      </c>
      <c r="M24" s="27" t="n">
        <v>20</v>
      </c>
      <c r="N24" s="27" t="n">
        <v>240</v>
      </c>
      <c r="O24" s="28" t="n">
        <f aca="false">IF($E24="","",N(O23)+N(M24)+N(N24))</f>
        <v>280</v>
      </c>
      <c r="P24" s="25" t="s">
        <v>68</v>
      </c>
      <c r="Q24" s="25" t="s">
        <v>78</v>
      </c>
      <c r="R24" s="24" t="s">
        <v>65</v>
      </c>
    </row>
    <row r="25" customFormat="false" ht="30" hidden="false" customHeight="true" outlineLevel="0" collapsed="false">
      <c r="B25" s="29" t="n">
        <f aca="false">IF($E25="","",COUNTA($E$22:$E25))</f>
        <v>4</v>
      </c>
      <c r="C25" s="30" t="s">
        <v>85</v>
      </c>
      <c r="D25" s="31" t="s">
        <v>86</v>
      </c>
      <c r="E25" s="32" t="s">
        <v>87</v>
      </c>
      <c r="F25" s="30" t="s">
        <v>88</v>
      </c>
      <c r="G25" s="30" t="s">
        <v>89</v>
      </c>
      <c r="H25" s="30" t="s">
        <v>90</v>
      </c>
      <c r="I25" s="30" t="s">
        <v>82</v>
      </c>
      <c r="J25" s="30" t="s">
        <v>91</v>
      </c>
      <c r="K25" s="30" t="s">
        <v>83</v>
      </c>
      <c r="L25" s="30" t="s">
        <v>92</v>
      </c>
      <c r="M25" s="33" t="n">
        <v>10</v>
      </c>
      <c r="N25" s="33" t="n">
        <v>480</v>
      </c>
      <c r="O25" s="34" t="n">
        <f aca="false">IF($E25="","",N(O24)+N(M25)+N(N25))</f>
        <v>770</v>
      </c>
      <c r="P25" s="31" t="s">
        <v>77</v>
      </c>
      <c r="Q25" s="31" t="s">
        <v>93</v>
      </c>
      <c r="R25" s="30" t="s">
        <v>94</v>
      </c>
    </row>
    <row r="26" customFormat="false" ht="30" hidden="false" customHeight="true" outlineLevel="0" collapsed="false">
      <c r="B26" s="23" t="n">
        <f aca="false">IF($E26="","",COUNTA($E$22:$E26))</f>
        <v>5</v>
      </c>
      <c r="C26" s="24" t="s">
        <v>85</v>
      </c>
      <c r="D26" s="25" t="s">
        <v>70</v>
      </c>
      <c r="E26" s="26" t="s">
        <v>95</v>
      </c>
      <c r="F26" s="24" t="s">
        <v>96</v>
      </c>
      <c r="G26" s="24" t="s">
        <v>89</v>
      </c>
      <c r="H26" s="24" t="s">
        <v>64</v>
      </c>
      <c r="I26" s="24" t="s">
        <v>91</v>
      </c>
      <c r="J26" s="24" t="s">
        <v>97</v>
      </c>
      <c r="K26" s="24" t="s">
        <v>98</v>
      </c>
      <c r="L26" s="24" t="s">
        <v>99</v>
      </c>
      <c r="M26" s="27" t="n">
        <v>25</v>
      </c>
      <c r="N26" s="27" t="n">
        <v>960</v>
      </c>
      <c r="O26" s="28" t="n">
        <f aca="false">IF($E26="","",N(O25)+N(M26)+N(N26))</f>
        <v>1755</v>
      </c>
      <c r="P26" s="25" t="s">
        <v>68</v>
      </c>
      <c r="Q26" s="25" t="s">
        <v>78</v>
      </c>
      <c r="R26" s="24" t="s">
        <v>65</v>
      </c>
    </row>
    <row r="27" customFormat="false" ht="30" hidden="false" customHeight="true" outlineLevel="0" collapsed="false">
      <c r="B27" s="29" t="n">
        <f aca="false">IF($E27="","",COUNTA($E$22:$E27))</f>
        <v>6</v>
      </c>
      <c r="C27" s="30" t="s">
        <v>85</v>
      </c>
      <c r="D27" s="31" t="s">
        <v>86</v>
      </c>
      <c r="E27" s="32" t="s">
        <v>100</v>
      </c>
      <c r="F27" s="30" t="s">
        <v>101</v>
      </c>
      <c r="G27" s="30" t="s">
        <v>73</v>
      </c>
      <c r="H27" s="30" t="s">
        <v>65</v>
      </c>
      <c r="I27" s="30" t="s">
        <v>102</v>
      </c>
      <c r="J27" s="30" t="s">
        <v>103</v>
      </c>
      <c r="K27" s="30" t="s">
        <v>83</v>
      </c>
      <c r="L27" s="30" t="s">
        <v>104</v>
      </c>
      <c r="M27" s="33" t="n">
        <v>5</v>
      </c>
      <c r="N27" s="33" t="n">
        <v>0</v>
      </c>
      <c r="O27" s="34" t="n">
        <f aca="false">IF($E27="","",N(O26)+N(M27)+N(N27))</f>
        <v>1760</v>
      </c>
      <c r="P27" s="31" t="s">
        <v>105</v>
      </c>
      <c r="Q27" s="31" t="s">
        <v>93</v>
      </c>
      <c r="R27" s="30" t="s">
        <v>106</v>
      </c>
    </row>
    <row r="28" customFormat="false" ht="30" hidden="false" customHeight="true" outlineLevel="0" collapsed="false">
      <c r="B28" s="23" t="n">
        <f aca="false">IF($E28="","",COUNTA($E$22:$E28))</f>
        <v>7</v>
      </c>
      <c r="C28" s="24" t="s">
        <v>85</v>
      </c>
      <c r="D28" s="25" t="s">
        <v>70</v>
      </c>
      <c r="E28" s="26" t="s">
        <v>107</v>
      </c>
      <c r="F28" s="24" t="s">
        <v>108</v>
      </c>
      <c r="G28" s="24" t="s">
        <v>73</v>
      </c>
      <c r="H28" s="24" t="s">
        <v>64</v>
      </c>
      <c r="I28" s="24" t="s">
        <v>103</v>
      </c>
      <c r="J28" s="24" t="s">
        <v>109</v>
      </c>
      <c r="K28" s="24" t="s">
        <v>98</v>
      </c>
      <c r="L28" s="24" t="s">
        <v>110</v>
      </c>
      <c r="M28" s="27" t="n">
        <v>45</v>
      </c>
      <c r="N28" s="27" t="n">
        <v>2880</v>
      </c>
      <c r="O28" s="28" t="n">
        <f aca="false">IF($E28="","",N(O27)+N(M28)+N(N28))</f>
        <v>4685</v>
      </c>
      <c r="P28" s="25" t="s">
        <v>68</v>
      </c>
      <c r="Q28" s="25" t="s">
        <v>78</v>
      </c>
      <c r="R28" s="24" t="s">
        <v>65</v>
      </c>
    </row>
    <row r="29" customFormat="false" ht="30" hidden="false" customHeight="true" outlineLevel="0" collapsed="false">
      <c r="B29" s="29" t="n">
        <f aca="false">IF($E29="","",COUNTA($E$22:$E29))</f>
        <v>8</v>
      </c>
      <c r="C29" s="30" t="s">
        <v>85</v>
      </c>
      <c r="D29" s="31" t="s">
        <v>79</v>
      </c>
      <c r="E29" s="32" t="s">
        <v>111</v>
      </c>
      <c r="F29" s="30" t="s">
        <v>112</v>
      </c>
      <c r="G29" s="30" t="s">
        <v>73</v>
      </c>
      <c r="H29" s="30" t="s">
        <v>113</v>
      </c>
      <c r="I29" s="30" t="s">
        <v>109</v>
      </c>
      <c r="J29" s="30" t="s">
        <v>114</v>
      </c>
      <c r="K29" s="30" t="s">
        <v>115</v>
      </c>
      <c r="L29" s="30" t="s">
        <v>116</v>
      </c>
      <c r="M29" s="33" t="n">
        <v>40</v>
      </c>
      <c r="N29" s="33" t="n">
        <v>0</v>
      </c>
      <c r="O29" s="34" t="n">
        <f aca="false">IF($E29="","",N(O28)+N(M29)+N(N29))</f>
        <v>4725</v>
      </c>
      <c r="P29" s="31" t="s">
        <v>77</v>
      </c>
      <c r="Q29" s="31" t="s">
        <v>93</v>
      </c>
      <c r="R29" s="30" t="s">
        <v>65</v>
      </c>
    </row>
    <row r="30" customFormat="false" ht="30" hidden="false" customHeight="true" outlineLevel="0" collapsed="false">
      <c r="B30" s="23" t="n">
        <f aca="false">IF($E30="","",COUNTA($E$22:$E30))</f>
        <v>9</v>
      </c>
      <c r="C30" s="24" t="s">
        <v>117</v>
      </c>
      <c r="D30" s="25" t="s">
        <v>70</v>
      </c>
      <c r="E30" s="26" t="s">
        <v>118</v>
      </c>
      <c r="F30" s="24" t="s">
        <v>119</v>
      </c>
      <c r="G30" s="24" t="s">
        <v>73</v>
      </c>
      <c r="H30" s="24" t="s">
        <v>89</v>
      </c>
      <c r="I30" s="24" t="s">
        <v>114</v>
      </c>
      <c r="J30" s="24" t="s">
        <v>120</v>
      </c>
      <c r="K30" s="24" t="s">
        <v>121</v>
      </c>
      <c r="L30" s="24" t="s">
        <v>120</v>
      </c>
      <c r="M30" s="27" t="n">
        <v>20</v>
      </c>
      <c r="N30" s="27" t="n">
        <v>0</v>
      </c>
      <c r="O30" s="28" t="n">
        <f aca="false">IF($E30="","",N(O29)+N(M30)+N(N30))</f>
        <v>4745</v>
      </c>
      <c r="P30" s="25" t="s">
        <v>68</v>
      </c>
      <c r="Q30" s="25" t="s">
        <v>93</v>
      </c>
      <c r="R30" s="24" t="s">
        <v>65</v>
      </c>
    </row>
    <row r="31" customFormat="false" ht="30" hidden="false" customHeight="true" outlineLevel="0" collapsed="false">
      <c r="B31" s="29" t="n">
        <f aca="false">IF($E31="","",COUNTA($E$22:$E31))</f>
        <v>10</v>
      </c>
      <c r="C31" s="30" t="s">
        <v>117</v>
      </c>
      <c r="D31" s="31" t="s">
        <v>70</v>
      </c>
      <c r="E31" s="32" t="s">
        <v>122</v>
      </c>
      <c r="F31" s="30" t="s">
        <v>123</v>
      </c>
      <c r="G31" s="30" t="s">
        <v>73</v>
      </c>
      <c r="H31" s="30" t="s">
        <v>65</v>
      </c>
      <c r="I31" s="30" t="s">
        <v>120</v>
      </c>
      <c r="J31" s="30" t="s">
        <v>124</v>
      </c>
      <c r="K31" s="30" t="s">
        <v>83</v>
      </c>
      <c r="L31" s="30" t="s">
        <v>125</v>
      </c>
      <c r="M31" s="33" t="n">
        <v>25</v>
      </c>
      <c r="N31" s="33" t="n">
        <v>0</v>
      </c>
      <c r="O31" s="34" t="n">
        <f aca="false">IF($E31="","",N(O30)+N(M31)+N(N31))</f>
        <v>4770</v>
      </c>
      <c r="P31" s="31" t="s">
        <v>77</v>
      </c>
      <c r="Q31" s="31" t="s">
        <v>78</v>
      </c>
      <c r="R31" s="30" t="s">
        <v>65</v>
      </c>
    </row>
    <row r="32" customFormat="false" ht="30" hidden="false" customHeight="true" outlineLevel="0" collapsed="false">
      <c r="B32" s="23" t="n">
        <f aca="false">IF($E32="","",COUNTA($E$22:$E32))</f>
        <v>11</v>
      </c>
      <c r="C32" s="24" t="s">
        <v>117</v>
      </c>
      <c r="D32" s="25" t="s">
        <v>70</v>
      </c>
      <c r="E32" s="26" t="s">
        <v>126</v>
      </c>
      <c r="F32" s="24" t="s">
        <v>127</v>
      </c>
      <c r="G32" s="24" t="s">
        <v>128</v>
      </c>
      <c r="H32" s="24" t="s">
        <v>73</v>
      </c>
      <c r="I32" s="24" t="s">
        <v>124</v>
      </c>
      <c r="J32" s="24" t="s">
        <v>129</v>
      </c>
      <c r="K32" s="24" t="s">
        <v>130</v>
      </c>
      <c r="L32" s="24" t="s">
        <v>131</v>
      </c>
      <c r="M32" s="27" t="n">
        <v>10</v>
      </c>
      <c r="N32" s="27" t="n">
        <v>720</v>
      </c>
      <c r="O32" s="28" t="n">
        <f aca="false">IF($E32="","",N(O31)+N(M32)+N(N32))</f>
        <v>5500</v>
      </c>
      <c r="P32" s="25" t="s">
        <v>105</v>
      </c>
      <c r="Q32" s="25" t="s">
        <v>93</v>
      </c>
      <c r="R32" s="24" t="s">
        <v>65</v>
      </c>
    </row>
    <row r="33" customFormat="false" ht="30" hidden="false" customHeight="true" outlineLevel="0" collapsed="false">
      <c r="B33" s="29" t="n">
        <f aca="false">IF($E33="","",COUNTA($E$22:$E33))</f>
        <v>12</v>
      </c>
      <c r="C33" s="30" t="s">
        <v>132</v>
      </c>
      <c r="D33" s="31" t="s">
        <v>79</v>
      </c>
      <c r="E33" s="32" t="s">
        <v>133</v>
      </c>
      <c r="F33" s="30" t="s">
        <v>134</v>
      </c>
      <c r="G33" s="30" t="s">
        <v>73</v>
      </c>
      <c r="H33" s="30" t="s">
        <v>65</v>
      </c>
      <c r="I33" s="30" t="s">
        <v>135</v>
      </c>
      <c r="J33" s="30" t="s">
        <v>136</v>
      </c>
      <c r="K33" s="30" t="s">
        <v>83</v>
      </c>
      <c r="L33" s="30" t="s">
        <v>135</v>
      </c>
      <c r="M33" s="33" t="n">
        <v>15</v>
      </c>
      <c r="N33" s="33" t="n">
        <v>1440</v>
      </c>
      <c r="O33" s="34" t="n">
        <f aca="false">IF($E33="","",N(O32)+N(M33)+N(N33))</f>
        <v>6955</v>
      </c>
      <c r="P33" s="31" t="s">
        <v>77</v>
      </c>
      <c r="Q33" s="31" t="s">
        <v>78</v>
      </c>
      <c r="R33" s="30" t="s">
        <v>65</v>
      </c>
    </row>
    <row r="34" customFormat="false" ht="30" hidden="false" customHeight="true" outlineLevel="0" collapsed="false">
      <c r="B34" s="23" t="n">
        <f aca="false">IF($E34="","",COUNTA($E$22:$E34))</f>
        <v>13</v>
      </c>
      <c r="C34" s="24" t="s">
        <v>132</v>
      </c>
      <c r="D34" s="25" t="s">
        <v>70</v>
      </c>
      <c r="E34" s="26" t="s">
        <v>137</v>
      </c>
      <c r="F34" s="24" t="s">
        <v>138</v>
      </c>
      <c r="G34" s="24" t="s">
        <v>139</v>
      </c>
      <c r="H34" s="24" t="s">
        <v>73</v>
      </c>
      <c r="I34" s="24" t="s">
        <v>140</v>
      </c>
      <c r="J34" s="24" t="s">
        <v>141</v>
      </c>
      <c r="K34" s="24" t="s">
        <v>83</v>
      </c>
      <c r="L34" s="24" t="s">
        <v>142</v>
      </c>
      <c r="M34" s="27" t="n">
        <v>20</v>
      </c>
      <c r="N34" s="27" t="n">
        <v>0</v>
      </c>
      <c r="O34" s="28" t="n">
        <f aca="false">IF($E34="","",N(O33)+N(M34)+N(N34))</f>
        <v>6975</v>
      </c>
      <c r="P34" s="25" t="s">
        <v>77</v>
      </c>
      <c r="Q34" s="25" t="s">
        <v>78</v>
      </c>
      <c r="R34" s="24" t="s">
        <v>65</v>
      </c>
    </row>
    <row r="35" customFormat="false" ht="30" hidden="false" customHeight="true" outlineLevel="0" collapsed="false">
      <c r="B35" s="29" t="n">
        <f aca="false">IF($E35="","",COUNTA($E$22:$E35))</f>
        <v>14</v>
      </c>
      <c r="C35" s="30" t="s">
        <v>132</v>
      </c>
      <c r="D35" s="31" t="s">
        <v>79</v>
      </c>
      <c r="E35" s="32" t="s">
        <v>143</v>
      </c>
      <c r="F35" s="30" t="s">
        <v>144</v>
      </c>
      <c r="G35" s="30" t="s">
        <v>113</v>
      </c>
      <c r="H35" s="30" t="s">
        <v>139</v>
      </c>
      <c r="I35" s="30" t="s">
        <v>141</v>
      </c>
      <c r="J35" s="30" t="s">
        <v>145</v>
      </c>
      <c r="K35" s="30" t="s">
        <v>121</v>
      </c>
      <c r="L35" s="30" t="s">
        <v>145</v>
      </c>
      <c r="M35" s="33" t="n">
        <v>30</v>
      </c>
      <c r="N35" s="33" t="n">
        <v>0</v>
      </c>
      <c r="O35" s="34" t="n">
        <f aca="false">IF($E35="","",N(O34)+N(M35)+N(N35))</f>
        <v>7005</v>
      </c>
      <c r="P35" s="31" t="s">
        <v>68</v>
      </c>
      <c r="Q35" s="31" t="s">
        <v>93</v>
      </c>
      <c r="R35" s="30" t="s">
        <v>65</v>
      </c>
    </row>
    <row r="36" customFormat="false" ht="30" hidden="false" customHeight="true" outlineLevel="0" collapsed="false">
      <c r="B36" s="23" t="n">
        <f aca="false">IF($E36="","",COUNTA($E$22:$E36))</f>
        <v>15</v>
      </c>
      <c r="C36" s="24" t="s">
        <v>132</v>
      </c>
      <c r="D36" s="25" t="s">
        <v>86</v>
      </c>
      <c r="E36" s="26" t="s">
        <v>146</v>
      </c>
      <c r="F36" s="24" t="s">
        <v>147</v>
      </c>
      <c r="G36" s="24" t="s">
        <v>113</v>
      </c>
      <c r="H36" s="24" t="s">
        <v>73</v>
      </c>
      <c r="I36" s="24" t="s">
        <v>145</v>
      </c>
      <c r="J36" s="24" t="s">
        <v>148</v>
      </c>
      <c r="K36" s="24" t="s">
        <v>121</v>
      </c>
      <c r="L36" s="24" t="s">
        <v>65</v>
      </c>
      <c r="M36" s="27" t="n">
        <v>5</v>
      </c>
      <c r="N36" s="27" t="n">
        <v>0</v>
      </c>
      <c r="O36" s="28" t="n">
        <f aca="false">IF($E36="","",N(O35)+N(M36)+N(N36))</f>
        <v>7010</v>
      </c>
      <c r="P36" s="25" t="s">
        <v>68</v>
      </c>
      <c r="Q36" s="25" t="s">
        <v>93</v>
      </c>
      <c r="R36" s="24" t="s">
        <v>149</v>
      </c>
    </row>
    <row r="37" customFormat="false" ht="30" hidden="false" customHeight="true" outlineLevel="0" collapsed="false">
      <c r="B37" s="29" t="n">
        <f aca="false">IF($E37="","",COUNTA($E$22:$E37))</f>
        <v>16</v>
      </c>
      <c r="C37" s="30" t="s">
        <v>132</v>
      </c>
      <c r="D37" s="31" t="s">
        <v>70</v>
      </c>
      <c r="E37" s="32" t="s">
        <v>150</v>
      </c>
      <c r="F37" s="30" t="s">
        <v>151</v>
      </c>
      <c r="G37" s="30" t="s">
        <v>73</v>
      </c>
      <c r="H37" s="30" t="s">
        <v>113</v>
      </c>
      <c r="I37" s="30" t="s">
        <v>148</v>
      </c>
      <c r="J37" s="30" t="s">
        <v>152</v>
      </c>
      <c r="K37" s="30" t="s">
        <v>98</v>
      </c>
      <c r="L37" s="30" t="s">
        <v>153</v>
      </c>
      <c r="M37" s="33" t="n">
        <v>35</v>
      </c>
      <c r="N37" s="33" t="n">
        <v>2880</v>
      </c>
      <c r="O37" s="34" t="n">
        <f aca="false">IF($E37="","",N(O36)+N(M37)+N(N37))</f>
        <v>9925</v>
      </c>
      <c r="P37" s="31" t="s">
        <v>68</v>
      </c>
      <c r="Q37" s="31" t="s">
        <v>93</v>
      </c>
      <c r="R37" s="30" t="s">
        <v>65</v>
      </c>
    </row>
    <row r="38" customFormat="false" ht="30" hidden="false" customHeight="true" outlineLevel="0" collapsed="false">
      <c r="B38" s="23" t="n">
        <f aca="false">IF($E38="","",COUNTA($E$22:$E38))</f>
        <v>17</v>
      </c>
      <c r="C38" s="24" t="s">
        <v>154</v>
      </c>
      <c r="D38" s="25" t="s">
        <v>79</v>
      </c>
      <c r="E38" s="26" t="s">
        <v>155</v>
      </c>
      <c r="F38" s="24" t="s">
        <v>156</v>
      </c>
      <c r="G38" s="24" t="s">
        <v>90</v>
      </c>
      <c r="H38" s="24" t="s">
        <v>73</v>
      </c>
      <c r="I38" s="24" t="s">
        <v>157</v>
      </c>
      <c r="J38" s="24" t="s">
        <v>158</v>
      </c>
      <c r="K38" s="24" t="s">
        <v>83</v>
      </c>
      <c r="L38" s="24" t="s">
        <v>159</v>
      </c>
      <c r="M38" s="27" t="n">
        <v>25</v>
      </c>
      <c r="N38" s="27" t="n">
        <v>480</v>
      </c>
      <c r="O38" s="28" t="n">
        <f aca="false">IF($E38="","",N(O37)+N(M38)+N(N38))</f>
        <v>10430</v>
      </c>
      <c r="P38" s="25" t="s">
        <v>77</v>
      </c>
      <c r="Q38" s="25" t="s">
        <v>93</v>
      </c>
      <c r="R38" s="24" t="s">
        <v>65</v>
      </c>
    </row>
    <row r="39" customFormat="false" ht="30" hidden="false" customHeight="true" outlineLevel="0" collapsed="false">
      <c r="B39" s="29" t="n">
        <f aca="false">IF($E39="","",COUNTA($E$22:$E39))</f>
        <v>18</v>
      </c>
      <c r="C39" s="30" t="s">
        <v>154</v>
      </c>
      <c r="D39" s="31" t="s">
        <v>70</v>
      </c>
      <c r="E39" s="32" t="s">
        <v>160</v>
      </c>
      <c r="F39" s="30" t="s">
        <v>161</v>
      </c>
      <c r="G39" s="30" t="s">
        <v>90</v>
      </c>
      <c r="H39" s="30" t="s">
        <v>128</v>
      </c>
      <c r="I39" s="30" t="s">
        <v>158</v>
      </c>
      <c r="J39" s="30" t="s">
        <v>162</v>
      </c>
      <c r="K39" s="30" t="s">
        <v>83</v>
      </c>
      <c r="L39" s="30" t="s">
        <v>163</v>
      </c>
      <c r="M39" s="33" t="n">
        <v>10</v>
      </c>
      <c r="N39" s="33" t="n">
        <v>240</v>
      </c>
      <c r="O39" s="34" t="n">
        <f aca="false">IF($E39="","",N(O38)+N(M39)+N(N39))</f>
        <v>10680</v>
      </c>
      <c r="P39" s="31" t="s">
        <v>105</v>
      </c>
      <c r="Q39" s="31" t="s">
        <v>93</v>
      </c>
      <c r="R39" s="30" t="s">
        <v>65</v>
      </c>
    </row>
    <row r="40" customFormat="false" ht="30" hidden="false" customHeight="true" outlineLevel="0" collapsed="false">
      <c r="B40" s="23" t="n">
        <f aca="false">IF($E40="","",COUNTA($E$22:$E40))</f>
        <v>19</v>
      </c>
      <c r="C40" s="24" t="s">
        <v>154</v>
      </c>
      <c r="D40" s="25" t="s">
        <v>164</v>
      </c>
      <c r="E40" s="26" t="s">
        <v>165</v>
      </c>
      <c r="F40" s="24" t="s">
        <v>166</v>
      </c>
      <c r="G40" s="24" t="s">
        <v>73</v>
      </c>
      <c r="H40" s="24" t="s">
        <v>90</v>
      </c>
      <c r="I40" s="24" t="s">
        <v>162</v>
      </c>
      <c r="J40" s="24" t="s">
        <v>167</v>
      </c>
      <c r="K40" s="24" t="s">
        <v>121</v>
      </c>
      <c r="L40" s="24" t="s">
        <v>168</v>
      </c>
      <c r="M40" s="27" t="n">
        <v>10</v>
      </c>
      <c r="N40" s="27" t="n">
        <v>0</v>
      </c>
      <c r="O40" s="28" t="n">
        <f aca="false">IF($E40="","",N(O39)+N(M40)+N(N40))</f>
        <v>10690</v>
      </c>
      <c r="P40" s="25" t="s">
        <v>77</v>
      </c>
      <c r="Q40" s="25" t="s">
        <v>69</v>
      </c>
      <c r="R40" s="24" t="s">
        <v>65</v>
      </c>
    </row>
    <row r="41" customFormat="false" ht="30" hidden="false" customHeight="true" outlineLevel="0" collapsed="false">
      <c r="B41" s="29" t="str">
        <f aca="false">IF($E41="","",COUNTA($E$22:$E41))</f>
        <v/>
      </c>
      <c r="C41" s="30"/>
      <c r="D41" s="31"/>
      <c r="E41" s="32"/>
      <c r="F41" s="30"/>
      <c r="G41" s="30"/>
      <c r="H41" s="30"/>
      <c r="I41" s="30"/>
      <c r="J41" s="30"/>
      <c r="K41" s="30"/>
      <c r="L41" s="30"/>
      <c r="M41" s="33"/>
      <c r="N41" s="33"/>
      <c r="O41" s="34" t="str">
        <f aca="false">IF($E41="","",N(O40)+N(M41)+N(N41))</f>
        <v/>
      </c>
      <c r="P41" s="31"/>
      <c r="Q41" s="31"/>
      <c r="R41" s="30"/>
    </row>
    <row r="42" customFormat="false" ht="30" hidden="false" customHeight="true" outlineLevel="0" collapsed="false">
      <c r="B42" s="23" t="str">
        <f aca="false">IF($E42="","",COUNTA($E$22:$E42))</f>
        <v/>
      </c>
      <c r="C42" s="24"/>
      <c r="D42" s="25"/>
      <c r="E42" s="26"/>
      <c r="F42" s="24"/>
      <c r="G42" s="24"/>
      <c r="H42" s="24"/>
      <c r="I42" s="24"/>
      <c r="J42" s="24"/>
      <c r="K42" s="24"/>
      <c r="L42" s="24"/>
      <c r="M42" s="27"/>
      <c r="N42" s="27"/>
      <c r="O42" s="28" t="str">
        <f aca="false">IF($E42="","",N(O41)+N(M42)+N(N42))</f>
        <v/>
      </c>
      <c r="P42" s="25"/>
      <c r="Q42" s="25"/>
      <c r="R42" s="24"/>
    </row>
    <row r="43" customFormat="false" ht="30" hidden="false" customHeight="true" outlineLevel="0" collapsed="false">
      <c r="B43" s="29" t="str">
        <f aca="false">IF($E43="","",COUNTA($E$22:$E43))</f>
        <v/>
      </c>
      <c r="C43" s="30"/>
      <c r="D43" s="31"/>
      <c r="E43" s="32"/>
      <c r="F43" s="30"/>
      <c r="G43" s="30"/>
      <c r="H43" s="30"/>
      <c r="I43" s="30"/>
      <c r="J43" s="30"/>
      <c r="K43" s="30"/>
      <c r="L43" s="30"/>
      <c r="M43" s="33"/>
      <c r="N43" s="33"/>
      <c r="O43" s="34" t="str">
        <f aca="false">IF($E43="","",N(O42)+N(M43)+N(N43))</f>
        <v/>
      </c>
      <c r="P43" s="31"/>
      <c r="Q43" s="31"/>
      <c r="R43" s="30"/>
    </row>
    <row r="44" customFormat="false" ht="30" hidden="false" customHeight="true" outlineLevel="0" collapsed="false">
      <c r="B44" s="23" t="str">
        <f aca="false">IF($E44="","",COUNTA($E$22:$E44))</f>
        <v/>
      </c>
      <c r="C44" s="24"/>
      <c r="D44" s="25"/>
      <c r="E44" s="26"/>
      <c r="F44" s="24"/>
      <c r="G44" s="24"/>
      <c r="H44" s="24"/>
      <c r="I44" s="24"/>
      <c r="J44" s="24"/>
      <c r="K44" s="24"/>
      <c r="L44" s="24"/>
      <c r="M44" s="27"/>
      <c r="N44" s="27"/>
      <c r="O44" s="28" t="str">
        <f aca="false">IF($E44="","",N(O43)+N(M44)+N(N44))</f>
        <v/>
      </c>
      <c r="P44" s="25"/>
      <c r="Q44" s="25"/>
      <c r="R44" s="24"/>
    </row>
    <row r="45" customFormat="false" ht="21.75" hidden="false" customHeight="true" outlineLevel="0" collapsed="false">
      <c r="B45" s="35" t="s">
        <v>169</v>
      </c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6" t="n">
        <f aca="false">SUM(M22:M44)</f>
        <v>370</v>
      </c>
      <c r="N45" s="36" t="n">
        <f aca="false">SUM(N22:N44)</f>
        <v>10320</v>
      </c>
      <c r="O45" s="36" t="n">
        <f aca="false">M45+N45</f>
        <v>10690</v>
      </c>
      <c r="P45" s="37" t="str">
        <f aca="false">ROUND(O45/60,1)&amp;" Stunden Gesamtdurchlaufzeit  ·  Effizienzquote "&amp;ROUND(IFERROR(M45/O45,0)*100,1)&amp;" %"</f>
        <v>178.2 Stunden Gesamtdurchlaufzeit  ·  Effizienzquote 3.5 %</v>
      </c>
      <c r="Q45" s="37"/>
      <c r="R45" s="37"/>
    </row>
    <row r="47" customFormat="false" ht="19.5" hidden="false" customHeight="true" outlineLevel="0" collapsed="false">
      <c r="B47" s="38" t="s">
        <v>170</v>
      </c>
      <c r="C47" s="38"/>
      <c r="D47" s="39" t="s">
        <v>171</v>
      </c>
      <c r="E47" s="39"/>
      <c r="F47" s="40" t="s">
        <v>70</v>
      </c>
      <c r="G47" s="40"/>
      <c r="H47" s="41" t="s">
        <v>79</v>
      </c>
      <c r="I47" s="41"/>
      <c r="J47" s="42" t="s">
        <v>86</v>
      </c>
      <c r="K47" s="42"/>
      <c r="L47" s="43" t="s">
        <v>172</v>
      </c>
      <c r="M47" s="43"/>
      <c r="P47" s="44" t="s">
        <v>173</v>
      </c>
      <c r="Q47" s="44"/>
      <c r="R47" s="44"/>
    </row>
    <row r="49" customFormat="false" ht="19.5" hidden="false" customHeight="true" outlineLevel="0" collapsed="false">
      <c r="B49" s="6" t="s">
        <v>174</v>
      </c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</row>
    <row r="50" customFormat="false" ht="16.5" hidden="false" customHeight="true" outlineLevel="0" collapsed="false">
      <c r="B50" s="45" t="s">
        <v>175</v>
      </c>
      <c r="C50" s="45"/>
      <c r="D50" s="45"/>
      <c r="E50" s="45"/>
      <c r="F50" s="45"/>
      <c r="G50" s="45"/>
      <c r="H50" s="45" t="s">
        <v>176</v>
      </c>
      <c r="I50" s="45"/>
      <c r="J50" s="45"/>
      <c r="K50" s="45"/>
      <c r="L50" s="45"/>
      <c r="M50" s="45" t="s">
        <v>177</v>
      </c>
      <c r="N50" s="45"/>
      <c r="O50" s="45"/>
      <c r="P50" s="45"/>
      <c r="Q50" s="45"/>
      <c r="R50" s="45"/>
    </row>
    <row r="51" customFormat="false" ht="18.75" hidden="false" customHeight="true" outlineLevel="0" collapsed="false">
      <c r="B51" s="46" t="s">
        <v>178</v>
      </c>
      <c r="C51" s="46"/>
      <c r="D51" s="46"/>
      <c r="E51" s="46"/>
      <c r="F51" s="46"/>
      <c r="G51" s="46"/>
      <c r="H51" s="46" t="s">
        <v>179</v>
      </c>
      <c r="I51" s="46"/>
      <c r="J51" s="46"/>
      <c r="K51" s="46"/>
      <c r="L51" s="46"/>
      <c r="M51" s="46" t="s">
        <v>180</v>
      </c>
      <c r="N51" s="46"/>
      <c r="O51" s="46"/>
      <c r="P51" s="46"/>
      <c r="Q51" s="46"/>
      <c r="R51" s="46"/>
    </row>
    <row r="52" customFormat="false" ht="24" hidden="false" customHeight="true" outlineLevel="0" collapsed="false">
      <c r="B52" s="47" t="s">
        <v>181</v>
      </c>
      <c r="C52" s="47"/>
      <c r="D52" s="47"/>
      <c r="E52" s="47"/>
      <c r="F52" s="47"/>
      <c r="G52" s="47"/>
      <c r="H52" s="47" t="s">
        <v>182</v>
      </c>
      <c r="I52" s="47"/>
      <c r="J52" s="47"/>
      <c r="K52" s="47"/>
      <c r="L52" s="47"/>
      <c r="M52" s="47" t="s">
        <v>183</v>
      </c>
      <c r="N52" s="47"/>
      <c r="O52" s="47"/>
      <c r="P52" s="47"/>
      <c r="Q52" s="47"/>
      <c r="R52" s="47"/>
    </row>
    <row r="54" customFormat="false" ht="19.5" hidden="false" customHeight="true" outlineLevel="0" collapsed="false">
      <c r="B54" s="6" t="s">
        <v>184</v>
      </c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</row>
    <row r="55" customFormat="false" ht="18.75" hidden="false" customHeight="true" outlineLevel="0" collapsed="false">
      <c r="B55" s="48" t="s">
        <v>12</v>
      </c>
      <c r="C55" s="48"/>
      <c r="D55" s="48" t="s">
        <v>185</v>
      </c>
      <c r="E55" s="48"/>
      <c r="F55" s="48" t="s">
        <v>186</v>
      </c>
      <c r="G55" s="48"/>
      <c r="H55" s="48"/>
      <c r="I55" s="48" t="s">
        <v>187</v>
      </c>
      <c r="J55" s="48"/>
      <c r="K55" s="48"/>
      <c r="L55" s="48"/>
      <c r="M55" s="48"/>
      <c r="N55" s="48"/>
      <c r="O55" s="48"/>
      <c r="P55" s="48"/>
      <c r="Q55" s="48"/>
      <c r="R55" s="48"/>
    </row>
    <row r="56" customFormat="false" ht="18" hidden="false" customHeight="true" outlineLevel="0" collapsed="false">
      <c r="B56" s="49" t="s">
        <v>188</v>
      </c>
      <c r="C56" s="49"/>
      <c r="D56" s="49" t="s">
        <v>189</v>
      </c>
      <c r="E56" s="49"/>
      <c r="F56" s="49" t="s">
        <v>190</v>
      </c>
      <c r="G56" s="49"/>
      <c r="H56" s="49"/>
      <c r="I56" s="49" t="s">
        <v>191</v>
      </c>
      <c r="J56" s="49"/>
      <c r="K56" s="49"/>
      <c r="L56" s="49"/>
      <c r="M56" s="49"/>
      <c r="N56" s="49"/>
      <c r="O56" s="49"/>
      <c r="P56" s="49"/>
      <c r="Q56" s="49"/>
      <c r="R56" s="49"/>
    </row>
    <row r="57" customFormat="false" ht="18" hidden="false" customHeight="true" outlineLevel="0" collapsed="false">
      <c r="B57" s="50" t="s">
        <v>192</v>
      </c>
      <c r="C57" s="50"/>
      <c r="D57" s="50" t="s">
        <v>193</v>
      </c>
      <c r="E57" s="50"/>
      <c r="F57" s="50" t="s">
        <v>190</v>
      </c>
      <c r="G57" s="50"/>
      <c r="H57" s="50"/>
      <c r="I57" s="50" t="s">
        <v>194</v>
      </c>
      <c r="J57" s="50"/>
      <c r="K57" s="50"/>
      <c r="L57" s="50"/>
      <c r="M57" s="50"/>
      <c r="N57" s="50"/>
      <c r="O57" s="50"/>
      <c r="P57" s="50"/>
      <c r="Q57" s="50"/>
      <c r="R57" s="50"/>
    </row>
    <row r="58" customFormat="false" ht="18" hidden="false" customHeight="true" outlineLevel="0" collapsed="false">
      <c r="B58" s="49" t="s">
        <v>195</v>
      </c>
      <c r="C58" s="49"/>
      <c r="D58" s="49" t="s">
        <v>196</v>
      </c>
      <c r="E58" s="49"/>
      <c r="F58" s="49" t="s">
        <v>197</v>
      </c>
      <c r="G58" s="49"/>
      <c r="H58" s="49"/>
      <c r="I58" s="49" t="s">
        <v>198</v>
      </c>
      <c r="J58" s="49"/>
      <c r="K58" s="49"/>
      <c r="L58" s="49"/>
      <c r="M58" s="49"/>
      <c r="N58" s="49"/>
      <c r="O58" s="49"/>
      <c r="P58" s="49"/>
      <c r="Q58" s="49"/>
      <c r="R58" s="49"/>
    </row>
    <row r="59" customFormat="false" ht="18" hidden="false" customHeight="true" outlineLevel="0" collapsed="false">
      <c r="B59" s="50" t="s">
        <v>13</v>
      </c>
      <c r="C59" s="50"/>
      <c r="D59" s="50" t="s">
        <v>199</v>
      </c>
      <c r="E59" s="50"/>
      <c r="F59" s="50" t="s">
        <v>200</v>
      </c>
      <c r="G59" s="50"/>
      <c r="H59" s="50"/>
      <c r="I59" s="50" t="s">
        <v>201</v>
      </c>
      <c r="J59" s="50"/>
      <c r="K59" s="50"/>
      <c r="L59" s="50"/>
      <c r="M59" s="50"/>
      <c r="N59" s="50"/>
      <c r="O59" s="50"/>
      <c r="P59" s="50"/>
      <c r="Q59" s="50"/>
      <c r="R59" s="50"/>
    </row>
    <row r="60" customFormat="false" ht="18" hidden="false" customHeight="true" outlineLevel="0" collapsed="false"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</row>
    <row r="62" customFormat="false" ht="15" hidden="false" customHeight="false" outlineLevel="0" collapsed="false">
      <c r="B62" s="51" t="str">
        <f aca="false">"Prozessbeschreibung  ·  "&amp;$D$7&amp;"  ·  Version "&amp;$D$9&amp;"  ·  Dokumentationsstand "&amp;$C$4&amp;"  ·  Beispieldaten frei überschreibbar"</f>
        <v>Prozessbeschreibung  ·  Beschaffung von Material und Dienstleistungen  ·  Version 2.1  ·  Dokumentationsstand 2026  ·  Beispieldaten frei überschreibbar</v>
      </c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</row>
  </sheetData>
  <mergeCells count="93">
    <mergeCell ref="B2:R2"/>
    <mergeCell ref="B3:R3"/>
    <mergeCell ref="M4:R4"/>
    <mergeCell ref="B6:R6"/>
    <mergeCell ref="B7:C7"/>
    <mergeCell ref="D7:H7"/>
    <mergeCell ref="I7:J7"/>
    <mergeCell ref="K7:R7"/>
    <mergeCell ref="B8:C8"/>
    <mergeCell ref="D8:H8"/>
    <mergeCell ref="I8:J8"/>
    <mergeCell ref="K8:R8"/>
    <mergeCell ref="B9:C9"/>
    <mergeCell ref="D9:H9"/>
    <mergeCell ref="I9:J9"/>
    <mergeCell ref="K9:R9"/>
    <mergeCell ref="B10:C10"/>
    <mergeCell ref="D10:H10"/>
    <mergeCell ref="I10:J10"/>
    <mergeCell ref="K10:R10"/>
    <mergeCell ref="B11:C11"/>
    <mergeCell ref="D11:H11"/>
    <mergeCell ref="I11:J11"/>
    <mergeCell ref="K11:R11"/>
    <mergeCell ref="B12:C12"/>
    <mergeCell ref="D12:H12"/>
    <mergeCell ref="I12:J12"/>
    <mergeCell ref="K12:R12"/>
    <mergeCell ref="B13:C13"/>
    <mergeCell ref="D13:H13"/>
    <mergeCell ref="I13:J13"/>
    <mergeCell ref="K13:R13"/>
    <mergeCell ref="B16:E16"/>
    <mergeCell ref="F16:H16"/>
    <mergeCell ref="I16:K16"/>
    <mergeCell ref="L16:O16"/>
    <mergeCell ref="P16:R16"/>
    <mergeCell ref="B17:E17"/>
    <mergeCell ref="F17:H17"/>
    <mergeCell ref="I17:K17"/>
    <mergeCell ref="L17:O17"/>
    <mergeCell ref="P17:R17"/>
    <mergeCell ref="B18:E18"/>
    <mergeCell ref="F18:H18"/>
    <mergeCell ref="I18:K18"/>
    <mergeCell ref="L18:O18"/>
    <mergeCell ref="P18:R18"/>
    <mergeCell ref="B20:R20"/>
    <mergeCell ref="B45:L45"/>
    <mergeCell ref="P45:R45"/>
    <mergeCell ref="B47:C47"/>
    <mergeCell ref="D47:E47"/>
    <mergeCell ref="F47:G47"/>
    <mergeCell ref="H47:I47"/>
    <mergeCell ref="J47:K47"/>
    <mergeCell ref="L47:M47"/>
    <mergeCell ref="P47:R47"/>
    <mergeCell ref="B49:R49"/>
    <mergeCell ref="B50:G50"/>
    <mergeCell ref="H50:L50"/>
    <mergeCell ref="M50:R50"/>
    <mergeCell ref="B51:G51"/>
    <mergeCell ref="H51:L51"/>
    <mergeCell ref="M51:R51"/>
    <mergeCell ref="B52:G52"/>
    <mergeCell ref="H52:L52"/>
    <mergeCell ref="M52:R52"/>
    <mergeCell ref="B54:R54"/>
    <mergeCell ref="B55:C55"/>
    <mergeCell ref="D55:E55"/>
    <mergeCell ref="F55:H55"/>
    <mergeCell ref="I55:R55"/>
    <mergeCell ref="B56:C56"/>
    <mergeCell ref="D56:E56"/>
    <mergeCell ref="F56:H56"/>
    <mergeCell ref="I56:R56"/>
    <mergeCell ref="B57:C57"/>
    <mergeCell ref="D57:E57"/>
    <mergeCell ref="F57:H57"/>
    <mergeCell ref="I57:R57"/>
    <mergeCell ref="B58:C58"/>
    <mergeCell ref="D58:E58"/>
    <mergeCell ref="F58:H58"/>
    <mergeCell ref="I58:R58"/>
    <mergeCell ref="B59:C59"/>
    <mergeCell ref="D59:E59"/>
    <mergeCell ref="F59:H59"/>
    <mergeCell ref="I59:R59"/>
    <mergeCell ref="B60:C60"/>
    <mergeCell ref="D60:E60"/>
    <mergeCell ref="F60:H60"/>
    <mergeCell ref="I60:R60"/>
    <mergeCell ref="B62:R62"/>
  </mergeCells>
  <conditionalFormatting sqref="D22:D44">
    <cfRule type="cellIs" priority="2" operator="equal" aboveAverage="0" equalAverage="0" bottom="0" percent="0" rank="0" text="" dxfId="0">
      <formula>"Start"</formula>
    </cfRule>
    <cfRule type="cellIs" priority="3" operator="equal" aboveAverage="0" equalAverage="0" bottom="0" percent="0" rank="0" text="" dxfId="0">
      <formula>"Ende"</formula>
    </cfRule>
    <cfRule type="cellIs" priority="4" operator="equal" aboveAverage="0" equalAverage="0" bottom="0" percent="0" rank="0" text="" dxfId="1">
      <formula>"Aktivität"</formula>
    </cfRule>
    <cfRule type="cellIs" priority="5" operator="equal" aboveAverage="0" equalAverage="0" bottom="0" percent="0" rank="0" text="" dxfId="2">
      <formula>"Prüfung"</formula>
    </cfRule>
    <cfRule type="cellIs" priority="6" operator="equal" aboveAverage="0" equalAverage="0" bottom="0" percent="0" rank="0" text="" dxfId="3">
      <formula>"Entscheidung"</formula>
    </cfRule>
  </conditionalFormatting>
  <conditionalFormatting sqref="Q22:Q44">
    <cfRule type="cellIs" priority="7" operator="equal" aboveAverage="0" equalAverage="0" bottom="0" percent="0" rank="0" text="" dxfId="4">
      <formula>"hoch"</formula>
    </cfRule>
    <cfRule type="cellIs" priority="8" operator="equal" aboveAverage="0" equalAverage="0" bottom="0" percent="0" rank="0" text="" dxfId="5">
      <formula>"mittel"</formula>
    </cfRule>
    <cfRule type="cellIs" priority="9" operator="equal" aboveAverage="0" equalAverage="0" bottom="0" percent="0" rank="0" text="" dxfId="6">
      <formula>"gering"</formula>
    </cfRule>
  </conditionalFormatting>
  <conditionalFormatting sqref="M22:M44">
    <cfRule type="dataBar" priority="10">
      <dataBar showValue="1" minLength="10" maxLength="90">
        <cfvo type="num" val="0"/>
        <cfvo type="max" val="0"/>
        <color rgb="FF7D8797"/>
      </dataBar>
      <extLst>
        <ext xmlns:x14="http://schemas.microsoft.com/office/spreadsheetml/2009/9/main" uri="{B025F937-C7B1-47D3-B67F-A62EFF666E3E}">
          <x14:id>{DE903159-19D3-4EE4-B6CD-B66ABAA7813C}</x14:id>
        </ext>
      </extLst>
    </cfRule>
  </conditionalFormatting>
  <conditionalFormatting sqref="N22:N44">
    <cfRule type="dataBar" priority="11">
      <dataBar showValue="1" minLength="10" maxLength="90">
        <cfvo type="num" val="0"/>
        <cfvo type="max" val="0"/>
        <color rgb="FFD7B27A"/>
      </dataBar>
      <extLst>
        <ext xmlns:x14="http://schemas.microsoft.com/office/spreadsheetml/2009/9/main" uri="{B025F937-C7B1-47D3-B67F-A62EFF666E3E}">
          <x14:id>{F2C05D35-9B2E-41C8-91D0-485EFFCDC57F}</x14:id>
        </ext>
      </extLst>
    </cfRule>
    <cfRule type="cellIs" priority="12" operator="greaterThanOrEqual" aboveAverage="0" equalAverage="0" bottom="0" percent="0" rank="0" text="" dxfId="7">
      <formula>1440</formula>
    </cfRule>
  </conditionalFormatting>
  <conditionalFormatting sqref="R22:R44">
    <cfRule type="expression" priority="13" aboveAverage="0" equalAverage="0" bottom="0" percent="0" rank="0" text="" dxfId="8">
      <formula>AND($D22="Entscheidung",OR($R22="",$R22="—"))</formula>
    </cfRule>
  </conditionalFormatting>
  <dataValidations count="6">
    <dataValidation allowBlank="true" errorStyle="stop" operator="between" showDropDown="false" showErrorMessage="false" showInputMessage="false" sqref="C22:C44" type="list">
      <formula1>L_Phase</formula1>
      <formula2>0</formula2>
    </dataValidation>
    <dataValidation allowBlank="true" errorStyle="stop" operator="between" showDropDown="false" showErrorMessage="false" showInputMessage="false" sqref="D22:D44" type="list">
      <formula1>L_Typ</formula1>
      <formula2>0</formula2>
    </dataValidation>
    <dataValidation allowBlank="true" errorStyle="stop" operator="between" showDropDown="false" showErrorMessage="false" showInputMessage="false" sqref="G22:H44" type="list">
      <formula1>L_Rolle</formula1>
      <formula2>0</formula2>
    </dataValidation>
    <dataValidation allowBlank="true" errorStyle="stop" operator="between" showDropDown="false" showErrorMessage="false" showInputMessage="false" sqref="K22:K44" type="list">
      <formula1>L_System</formula1>
      <formula2>0</formula2>
    </dataValidation>
    <dataValidation allowBlank="true" errorStyle="stop" operator="between" showDropDown="false" showErrorMessage="false" showInputMessage="false" sqref="P22:P44" type="list">
      <formula1>L_Auto</formula1>
      <formula2>0</formula2>
    </dataValidation>
    <dataValidation allowBlank="true" errorStyle="stop" operator="between" showDropDown="false" showErrorMessage="false" showInputMessage="false" sqref="Q22:Q44" type="list">
      <formula1>L_Krit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47" man="true" max="16383" min="0"/>
  </rowBreaks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E903159-19D3-4EE4-B6CD-B66ABAA7813C}">
            <x14:dataBar minLength="10" maxLength="90" axisPosition="none" gradient="true">
              <x14:cfvo type="num">
                <xm:f>0</xm:f>
              </x14:cfvo>
              <x14:cfvo type="max"/>
              <x14:negativeFillColor rgb="FF7D8797"/>
              <x14:axisColor rgb="FF000000"/>
            </x14:dataBar>
          </x14:cfRule>
          <xm:sqref>M22:M44</xm:sqref>
        </x14:conditionalFormatting>
        <x14:conditionalFormatting xmlns:xm="http://schemas.microsoft.com/office/excel/2006/main">
          <x14:cfRule type="dataBar" id="{F2C05D35-9B2E-41C8-91D0-485EFFCDC57F}">
            <x14:dataBar minLength="10" maxLength="90" axisPosition="none" gradient="true">
              <x14:cfvo type="num">
                <xm:f>0</xm:f>
              </x14:cfvo>
              <x14:cfvo type="max"/>
              <x14:negativeFillColor rgb="FFD7B27A"/>
              <x14:axisColor rgb="FF000000"/>
            </x14:dataBar>
          </x14:cfRule>
          <xm:sqref>N22:N44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3A3F4A"/>
    <pageSetUpPr fitToPage="true"/>
  </sheetPr>
  <dimension ref="B2:K5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30"/>
    <col collapsed="false" customWidth="true" hidden="false" outlineLevel="0" max="4" min="3" style="0" width="12"/>
    <col collapsed="false" customWidth="true" hidden="false" outlineLevel="0" max="7" min="5" style="0" width="14"/>
    <col collapsed="false" customWidth="true" hidden="false" outlineLevel="0" max="8" min="8" style="0" width="12"/>
    <col collapsed="false" customWidth="true" hidden="false" outlineLevel="0" max="11" min="9" style="0" width="14"/>
    <col collapsed="false" customWidth="true" hidden="false" outlineLevel="0" max="12" min="12" style="0" width="2"/>
  </cols>
  <sheetData>
    <row r="2" customFormat="false" ht="31.5" hidden="false" customHeight="true" outlineLevel="0" collapsed="false">
      <c r="B2" s="52" t="s">
        <v>202</v>
      </c>
      <c r="C2" s="52"/>
      <c r="D2" s="52"/>
      <c r="E2" s="52"/>
      <c r="F2" s="52"/>
      <c r="G2" s="52"/>
      <c r="H2" s="52"/>
      <c r="I2" s="52"/>
      <c r="J2" s="52"/>
      <c r="K2" s="52"/>
    </row>
    <row r="3" customFormat="false" ht="18.75" hidden="false" customHeight="true" outlineLevel="0" collapsed="false">
      <c r="B3" s="2" t="str">
        <f aca="false">"Auswertung zu „"&amp;Prozessblatt!$D$7&amp;"“  ·  alle Werte stammen aus dem Blatt „Prozessblatt“"</f>
        <v>Auswertung zu „Beschaffung von Material und Dienstleistungen“  ·  alle Werte stammen aus dem Blatt „Prozessblatt“</v>
      </c>
      <c r="C3" s="2"/>
      <c r="D3" s="2"/>
      <c r="E3" s="2"/>
      <c r="F3" s="2"/>
      <c r="G3" s="2"/>
      <c r="H3" s="2"/>
      <c r="I3" s="2"/>
      <c r="J3" s="2"/>
      <c r="K3" s="2"/>
    </row>
    <row r="5" customFormat="false" ht="19.5" hidden="false" customHeight="true" outlineLevel="0" collapsed="false">
      <c r="B5" s="6" t="s">
        <v>203</v>
      </c>
      <c r="C5" s="6"/>
      <c r="D5" s="6"/>
      <c r="E5" s="6"/>
      <c r="F5" s="6"/>
      <c r="G5" s="6"/>
      <c r="H5" s="6"/>
      <c r="I5" s="6"/>
      <c r="J5" s="6"/>
      <c r="K5" s="6"/>
    </row>
    <row r="6" customFormat="false" ht="25.5" hidden="false" customHeight="true" outlineLevel="0" collapsed="false">
      <c r="B6" s="53" t="s">
        <v>45</v>
      </c>
      <c r="C6" s="22" t="s">
        <v>204</v>
      </c>
      <c r="D6" s="22" t="s">
        <v>205</v>
      </c>
      <c r="E6" s="22" t="s">
        <v>206</v>
      </c>
      <c r="F6" s="22" t="s">
        <v>207</v>
      </c>
      <c r="G6" s="22" t="s">
        <v>208</v>
      </c>
    </row>
    <row r="7" customFormat="false" ht="16.5" hidden="false" customHeight="true" outlineLevel="0" collapsed="false">
      <c r="B7" s="54" t="s">
        <v>61</v>
      </c>
      <c r="C7" s="55" t="n">
        <f aca="false">COUNTIF(P_Typ,"Start")</f>
        <v>1</v>
      </c>
      <c r="D7" s="56" t="n">
        <f aca="false">IFERROR(COUNTIF(P_Typ,"Start")/SUMPRODUCT(--(P_Taetigkeit&lt;&gt;"")),0)</f>
        <v>0.0526315789473684</v>
      </c>
      <c r="E7" s="55" t="n">
        <f aca="false">SUMIF(P_Typ,"Start",P_Bearb)</f>
        <v>5</v>
      </c>
      <c r="F7" s="55" t="n">
        <f aca="false">SUMIF(P_Typ,"Start",P_Warte)</f>
        <v>0</v>
      </c>
      <c r="G7" s="55" t="n">
        <f aca="false">SUMIF(P_Typ,"Start",P_Bearb)+SUMIF(P_Typ,"Start",P_Warte)</f>
        <v>5</v>
      </c>
    </row>
    <row r="8" customFormat="false" ht="16.5" hidden="false" customHeight="true" outlineLevel="0" collapsed="false">
      <c r="B8" s="57" t="s">
        <v>70</v>
      </c>
      <c r="C8" s="58" t="n">
        <f aca="false">COUNTIF(P_Typ,"Aktivität")</f>
        <v>9</v>
      </c>
      <c r="D8" s="59" t="n">
        <f aca="false">IFERROR(COUNTIF(P_Typ,"Aktivität")/SUMPRODUCT(--(P_Taetigkeit&lt;&gt;"")),0)</f>
        <v>0.473684210526316</v>
      </c>
      <c r="E8" s="58" t="n">
        <f aca="false">SUMIF(P_Typ,"Aktivität",P_Bearb)</f>
        <v>205</v>
      </c>
      <c r="F8" s="58" t="n">
        <f aca="false">SUMIF(P_Typ,"Aktivität",P_Warte)</f>
        <v>7680</v>
      </c>
      <c r="G8" s="58" t="n">
        <f aca="false">SUMIF(P_Typ,"Aktivität",P_Bearb)+SUMIF(P_Typ,"Aktivität",P_Warte)</f>
        <v>7885</v>
      </c>
    </row>
    <row r="9" customFormat="false" ht="16.5" hidden="false" customHeight="true" outlineLevel="0" collapsed="false">
      <c r="B9" s="54" t="s">
        <v>79</v>
      </c>
      <c r="C9" s="55" t="n">
        <f aca="false">COUNTIF(P_Typ,"Prüfung")</f>
        <v>5</v>
      </c>
      <c r="D9" s="56" t="n">
        <f aca="false">IFERROR(COUNTIF(P_Typ,"Prüfung")/SUMPRODUCT(--(P_Taetigkeit&lt;&gt;"")),0)</f>
        <v>0.263157894736842</v>
      </c>
      <c r="E9" s="55" t="n">
        <f aca="false">SUMIF(P_Typ,"Prüfung",P_Bearb)</f>
        <v>130</v>
      </c>
      <c r="F9" s="55" t="n">
        <f aca="false">SUMIF(P_Typ,"Prüfung",P_Warte)</f>
        <v>2160</v>
      </c>
      <c r="G9" s="55" t="n">
        <f aca="false">SUMIF(P_Typ,"Prüfung",P_Bearb)+SUMIF(P_Typ,"Prüfung",P_Warte)</f>
        <v>2290</v>
      </c>
    </row>
    <row r="10" customFormat="false" ht="16.5" hidden="false" customHeight="true" outlineLevel="0" collapsed="false">
      <c r="B10" s="57" t="s">
        <v>86</v>
      </c>
      <c r="C10" s="58" t="n">
        <f aca="false">COUNTIF(P_Typ,"Entscheidung")</f>
        <v>3</v>
      </c>
      <c r="D10" s="59" t="n">
        <f aca="false">IFERROR(COUNTIF(P_Typ,"Entscheidung")/SUMPRODUCT(--(P_Taetigkeit&lt;&gt;"")),0)</f>
        <v>0.157894736842105</v>
      </c>
      <c r="E10" s="58" t="n">
        <f aca="false">SUMIF(P_Typ,"Entscheidung",P_Bearb)</f>
        <v>20</v>
      </c>
      <c r="F10" s="58" t="n">
        <f aca="false">SUMIF(P_Typ,"Entscheidung",P_Warte)</f>
        <v>480</v>
      </c>
      <c r="G10" s="58" t="n">
        <f aca="false">SUMIF(P_Typ,"Entscheidung",P_Bearb)+SUMIF(P_Typ,"Entscheidung",P_Warte)</f>
        <v>500</v>
      </c>
    </row>
    <row r="11" customFormat="false" ht="16.5" hidden="false" customHeight="true" outlineLevel="0" collapsed="false">
      <c r="B11" s="54" t="s">
        <v>164</v>
      </c>
      <c r="C11" s="55" t="n">
        <f aca="false">COUNTIF(P_Typ,"Ende")</f>
        <v>1</v>
      </c>
      <c r="D11" s="56" t="n">
        <f aca="false">IFERROR(COUNTIF(P_Typ,"Ende")/SUMPRODUCT(--(P_Taetigkeit&lt;&gt;"")),0)</f>
        <v>0.0526315789473684</v>
      </c>
      <c r="E11" s="55" t="n">
        <f aca="false">SUMIF(P_Typ,"Ende",P_Bearb)</f>
        <v>10</v>
      </c>
      <c r="F11" s="55" t="n">
        <f aca="false">SUMIF(P_Typ,"Ende",P_Warte)</f>
        <v>0</v>
      </c>
      <c r="G11" s="55" t="n">
        <f aca="false">SUMIF(P_Typ,"Ende",P_Bearb)+SUMIF(P_Typ,"Ende",P_Warte)</f>
        <v>10</v>
      </c>
    </row>
    <row r="12" customFormat="false" ht="19.5" hidden="false" customHeight="true" outlineLevel="0" collapsed="false">
      <c r="B12" s="60" t="s">
        <v>209</v>
      </c>
      <c r="C12" s="36" t="n">
        <f aca="false">SUM(C7:C11)</f>
        <v>19</v>
      </c>
      <c r="D12" s="61" t="n">
        <f aca="false">IF(C12=0,0,1)</f>
        <v>1</v>
      </c>
      <c r="E12" s="36" t="n">
        <f aca="false">SUM(E7:E11)</f>
        <v>370</v>
      </c>
      <c r="F12" s="36" t="n">
        <f aca="false">SUM(F7:F11)</f>
        <v>10320</v>
      </c>
      <c r="G12" s="36" t="n">
        <f aca="false">SUM(G7:G11)</f>
        <v>10690</v>
      </c>
    </row>
    <row r="14" customFormat="false" ht="19.5" hidden="false" customHeight="true" outlineLevel="0" collapsed="false">
      <c r="B14" s="6" t="s">
        <v>210</v>
      </c>
      <c r="C14" s="6"/>
      <c r="D14" s="6"/>
      <c r="E14" s="6"/>
      <c r="F14" s="6"/>
      <c r="G14" s="6"/>
      <c r="H14" s="6"/>
      <c r="I14" s="6"/>
      <c r="J14" s="6"/>
      <c r="K14" s="6"/>
    </row>
    <row r="15" customFormat="false" ht="25.5" hidden="false" customHeight="true" outlineLevel="0" collapsed="false">
      <c r="B15" s="53" t="s">
        <v>211</v>
      </c>
      <c r="C15" s="22" t="s">
        <v>212</v>
      </c>
      <c r="D15" s="22" t="s">
        <v>206</v>
      </c>
      <c r="E15" s="22" t="s">
        <v>207</v>
      </c>
      <c r="F15" s="22" t="s">
        <v>208</v>
      </c>
      <c r="G15" s="22" t="s">
        <v>213</v>
      </c>
      <c r="H15" s="22" t="s">
        <v>214</v>
      </c>
    </row>
    <row r="16" customFormat="false" ht="16.5" hidden="false" customHeight="true" outlineLevel="0" collapsed="false">
      <c r="B16" s="54" t="s">
        <v>60</v>
      </c>
      <c r="C16" s="55" t="n">
        <f aca="false">COUNTIF(P_Phase,"1 · Bedarf")</f>
        <v>3</v>
      </c>
      <c r="D16" s="55" t="n">
        <f aca="false">SUMIF(P_Phase,"1 · Bedarf",P_Bearb)</f>
        <v>40</v>
      </c>
      <c r="E16" s="55" t="n">
        <f aca="false">SUMIF(P_Phase,"1 · Bedarf",P_Warte)</f>
        <v>240</v>
      </c>
      <c r="F16" s="55" t="n">
        <f aca="false">SUMIF(P_Phase,"1 · Bedarf",P_Bearb)+SUMIF(P_Phase,"1 · Bedarf",P_Warte)</f>
        <v>280</v>
      </c>
      <c r="G16" s="56" t="n">
        <f aca="false">IFERROR((SUMIF(P_Phase,"1 · Bedarf",P_Bearb)+SUMIF(P_Phase,"1 · Bedarf",P_Warte))/(SUM(P_Bearb)+SUM(P_Warte)),0)</f>
        <v>0.0261927034611787</v>
      </c>
      <c r="H16" s="56" t="n">
        <f aca="false">IFERROR(SUMIF(P_Phase,"1 · Bedarf",P_Bearb)/(SUMIF(P_Phase,"1 · Bedarf",P_Bearb)+SUMIF(P_Phase,"1 · Bedarf",P_Warte)),0)</f>
        <v>0.142857142857143</v>
      </c>
    </row>
    <row r="17" customFormat="false" ht="16.5" hidden="false" customHeight="true" outlineLevel="0" collapsed="false">
      <c r="B17" s="57" t="s">
        <v>85</v>
      </c>
      <c r="C17" s="58" t="n">
        <f aca="false">COUNTIF(P_Phase,"2 · Freigabe")</f>
        <v>5</v>
      </c>
      <c r="D17" s="58" t="n">
        <f aca="false">SUMIF(P_Phase,"2 · Freigabe",P_Bearb)</f>
        <v>125</v>
      </c>
      <c r="E17" s="58" t="n">
        <f aca="false">SUMIF(P_Phase,"2 · Freigabe",P_Warte)</f>
        <v>4320</v>
      </c>
      <c r="F17" s="58" t="n">
        <f aca="false">SUMIF(P_Phase,"2 · Freigabe",P_Bearb)+SUMIF(P_Phase,"2 · Freigabe",P_Warte)</f>
        <v>4445</v>
      </c>
      <c r="G17" s="59" t="n">
        <f aca="false">IFERROR((SUMIF(P_Phase,"2 · Freigabe",P_Bearb)+SUMIF(P_Phase,"2 · Freigabe",P_Warte))/(SUM(P_Bearb)+SUM(P_Warte)),0)</f>
        <v>0.415809167446211</v>
      </c>
      <c r="H17" s="59" t="n">
        <f aca="false">IFERROR(SUMIF(P_Phase,"2 · Freigabe",P_Bearb)/(SUMIF(P_Phase,"2 · Freigabe",P_Bearb)+SUMIF(P_Phase,"2 · Freigabe",P_Warte)),0)</f>
        <v>0.0281214848143982</v>
      </c>
    </row>
    <row r="18" customFormat="false" ht="16.5" hidden="false" customHeight="true" outlineLevel="0" collapsed="false">
      <c r="B18" s="54" t="s">
        <v>117</v>
      </c>
      <c r="C18" s="55" t="n">
        <f aca="false">COUNTIF(P_Phase,"3 · Bestellung")</f>
        <v>3</v>
      </c>
      <c r="D18" s="55" t="n">
        <f aca="false">SUMIF(P_Phase,"3 · Bestellung",P_Bearb)</f>
        <v>55</v>
      </c>
      <c r="E18" s="55" t="n">
        <f aca="false">SUMIF(P_Phase,"3 · Bestellung",P_Warte)</f>
        <v>720</v>
      </c>
      <c r="F18" s="55" t="n">
        <f aca="false">SUMIF(P_Phase,"3 · Bestellung",P_Bearb)+SUMIF(P_Phase,"3 · Bestellung",P_Warte)</f>
        <v>775</v>
      </c>
      <c r="G18" s="56" t="n">
        <f aca="false">IFERROR((SUMIF(P_Phase,"3 · Bestellung",P_Bearb)+SUMIF(P_Phase,"3 · Bestellung",P_Warte))/(SUM(P_Bearb)+SUM(P_Warte)),0)</f>
        <v>0.0724976613657624</v>
      </c>
      <c r="H18" s="56" t="n">
        <f aca="false">IFERROR(SUMIF(P_Phase,"3 · Bestellung",P_Bearb)/(SUMIF(P_Phase,"3 · Bestellung",P_Bearb)+SUMIF(P_Phase,"3 · Bestellung",P_Warte)),0)</f>
        <v>0.0709677419354839</v>
      </c>
    </row>
    <row r="19" customFormat="false" ht="16.5" hidden="false" customHeight="true" outlineLevel="0" collapsed="false">
      <c r="B19" s="57" t="s">
        <v>132</v>
      </c>
      <c r="C19" s="58" t="n">
        <f aca="false">COUNTIF(P_Phase,"4 · Wareneingang")</f>
        <v>5</v>
      </c>
      <c r="D19" s="58" t="n">
        <f aca="false">SUMIF(P_Phase,"4 · Wareneingang",P_Bearb)</f>
        <v>105</v>
      </c>
      <c r="E19" s="58" t="n">
        <f aca="false">SUMIF(P_Phase,"4 · Wareneingang",P_Warte)</f>
        <v>4320</v>
      </c>
      <c r="F19" s="58" t="n">
        <f aca="false">SUMIF(P_Phase,"4 · Wareneingang",P_Bearb)+SUMIF(P_Phase,"4 · Wareneingang",P_Warte)</f>
        <v>4425</v>
      </c>
      <c r="G19" s="59" t="n">
        <f aca="false">IFERROR((SUMIF(P_Phase,"4 · Wareneingang",P_Bearb)+SUMIF(P_Phase,"4 · Wareneingang",P_Warte))/(SUM(P_Bearb)+SUM(P_Warte)),0)</f>
        <v>0.413938260056127</v>
      </c>
      <c r="H19" s="59" t="n">
        <f aca="false">IFERROR(SUMIF(P_Phase,"4 · Wareneingang",P_Bearb)/(SUMIF(P_Phase,"4 · Wareneingang",P_Bearb)+SUMIF(P_Phase,"4 · Wareneingang",P_Warte)),0)</f>
        <v>0.023728813559322</v>
      </c>
    </row>
    <row r="20" customFormat="false" ht="16.5" hidden="false" customHeight="true" outlineLevel="0" collapsed="false">
      <c r="B20" s="54" t="s">
        <v>154</v>
      </c>
      <c r="C20" s="55" t="n">
        <f aca="false">COUNTIF(P_Phase,"5 · Abschluss")</f>
        <v>3</v>
      </c>
      <c r="D20" s="55" t="n">
        <f aca="false">SUMIF(P_Phase,"5 · Abschluss",P_Bearb)</f>
        <v>45</v>
      </c>
      <c r="E20" s="55" t="n">
        <f aca="false">SUMIF(P_Phase,"5 · Abschluss",P_Warte)</f>
        <v>720</v>
      </c>
      <c r="F20" s="55" t="n">
        <f aca="false">SUMIF(P_Phase,"5 · Abschluss",P_Bearb)+SUMIF(P_Phase,"5 · Abschluss",P_Warte)</f>
        <v>765</v>
      </c>
      <c r="G20" s="56" t="n">
        <f aca="false">IFERROR((SUMIF(P_Phase,"5 · Abschluss",P_Bearb)+SUMIF(P_Phase,"5 · Abschluss",P_Warte))/(SUM(P_Bearb)+SUM(P_Warte)),0)</f>
        <v>0.0715622076707203</v>
      </c>
      <c r="H20" s="56" t="n">
        <f aca="false">IFERROR(SUMIF(P_Phase,"5 · Abschluss",P_Bearb)/(SUMIF(P_Phase,"5 · Abschluss",P_Bearb)+SUMIF(P_Phase,"5 · Abschluss",P_Warte)),0)</f>
        <v>0.0588235294117647</v>
      </c>
    </row>
    <row r="21" customFormat="false" ht="19.5" hidden="false" customHeight="true" outlineLevel="0" collapsed="false">
      <c r="B21" s="60" t="s">
        <v>209</v>
      </c>
      <c r="C21" s="36" t="n">
        <f aca="false">SUM(C16:C20)</f>
        <v>19</v>
      </c>
      <c r="D21" s="36" t="n">
        <f aca="false">SUM(D16:D20)</f>
        <v>370</v>
      </c>
      <c r="E21" s="36" t="n">
        <f aca="false">SUM(E16:E20)</f>
        <v>10320</v>
      </c>
      <c r="F21" s="36" t="n">
        <f aca="false">SUM(F16:F20)</f>
        <v>10690</v>
      </c>
      <c r="G21" s="61" t="n">
        <f aca="false">IF(F21=0,0,1)</f>
        <v>1</v>
      </c>
      <c r="H21" s="61" t="n">
        <f aca="false">IFERROR(D21/F21,0)</f>
        <v>0.0346117867165575</v>
      </c>
    </row>
    <row r="23" customFormat="false" ht="19.5" hidden="false" customHeight="true" outlineLevel="0" collapsed="false">
      <c r="B23" s="6" t="s">
        <v>215</v>
      </c>
      <c r="C23" s="6"/>
      <c r="D23" s="6"/>
      <c r="E23" s="6"/>
      <c r="F23" s="6"/>
      <c r="G23" s="6"/>
      <c r="H23" s="6"/>
      <c r="I23" s="6"/>
      <c r="J23" s="6"/>
      <c r="K23" s="6"/>
    </row>
    <row r="24" customFormat="false" ht="25.5" hidden="false" customHeight="true" outlineLevel="0" collapsed="false">
      <c r="B24" s="53" t="s">
        <v>216</v>
      </c>
      <c r="C24" s="22" t="s">
        <v>212</v>
      </c>
      <c r="D24" s="22" t="s">
        <v>206</v>
      </c>
      <c r="E24" s="22" t="s">
        <v>217</v>
      </c>
      <c r="F24" s="22" t="s">
        <v>218</v>
      </c>
    </row>
    <row r="25" customFormat="false" ht="16.5" hidden="false" customHeight="true" outlineLevel="0" collapsed="false">
      <c r="B25" s="54" t="s">
        <v>64</v>
      </c>
      <c r="C25" s="55" t="n">
        <f aca="false">COUNTIF(P_Verantw,"Fachbereich / Bedarfsträger")</f>
        <v>2</v>
      </c>
      <c r="D25" s="55" t="n">
        <f aca="false">SUMIF(P_Verantw,"Fachbereich / Bedarfsträger",P_Bearb)</f>
        <v>20</v>
      </c>
      <c r="E25" s="56" t="n">
        <f aca="false">IFERROR(SUMIF(P_Verantw,"Fachbereich / Bedarfsträger",P_Bearb)/SUM(P_Bearb),0)</f>
        <v>0.0540540540540541</v>
      </c>
      <c r="F25" s="55" t="n">
        <f aca="false">SUMIF(P_Verantw,"Fachbereich / Bedarfsträger",P_Warte)</f>
        <v>0</v>
      </c>
    </row>
    <row r="26" customFormat="false" ht="16.5" hidden="false" customHeight="true" outlineLevel="0" collapsed="false">
      <c r="B26" s="57" t="s">
        <v>73</v>
      </c>
      <c r="C26" s="58" t="n">
        <f aca="false">COUNTIF(P_Verantw,"Einkauf")</f>
        <v>9</v>
      </c>
      <c r="D26" s="58" t="n">
        <f aca="false">SUMIF(P_Verantw,"Einkauf",P_Bearb)</f>
        <v>215</v>
      </c>
      <c r="E26" s="59" t="n">
        <f aca="false">IFERROR(SUMIF(P_Verantw,"Einkauf",P_Bearb)/SUM(P_Bearb),0)</f>
        <v>0.581081081081081</v>
      </c>
      <c r="F26" s="58" t="n">
        <f aca="false">SUMIF(P_Verantw,"Einkauf",P_Warte)</f>
        <v>7440</v>
      </c>
    </row>
    <row r="27" customFormat="false" ht="16.5" hidden="false" customHeight="true" outlineLevel="0" collapsed="false">
      <c r="B27" s="54" t="s">
        <v>89</v>
      </c>
      <c r="C27" s="55" t="n">
        <f aca="false">COUNTIF(P_Verantw,"Kostenstellenleitung")</f>
        <v>2</v>
      </c>
      <c r="D27" s="55" t="n">
        <f aca="false">SUMIF(P_Verantw,"Kostenstellenleitung",P_Bearb)</f>
        <v>35</v>
      </c>
      <c r="E27" s="56" t="n">
        <f aca="false">IFERROR(SUMIF(P_Verantw,"Kostenstellenleitung",P_Bearb)/SUM(P_Bearb),0)</f>
        <v>0.0945945945945946</v>
      </c>
      <c r="F27" s="55" t="n">
        <f aca="false">SUMIF(P_Verantw,"Kostenstellenleitung",P_Warte)</f>
        <v>1440</v>
      </c>
    </row>
    <row r="28" customFormat="false" ht="16.5" hidden="false" customHeight="true" outlineLevel="0" collapsed="false">
      <c r="B28" s="57" t="s">
        <v>128</v>
      </c>
      <c r="C28" s="58" t="n">
        <f aca="false">COUNTIF(P_Verantw,"Geschäftsleitung")</f>
        <v>1</v>
      </c>
      <c r="D28" s="58" t="n">
        <f aca="false">SUMIF(P_Verantw,"Geschäftsleitung",P_Bearb)</f>
        <v>10</v>
      </c>
      <c r="E28" s="59" t="n">
        <f aca="false">IFERROR(SUMIF(P_Verantw,"Geschäftsleitung",P_Bearb)/SUM(P_Bearb),0)</f>
        <v>0.027027027027027</v>
      </c>
      <c r="F28" s="58" t="n">
        <f aca="false">SUMIF(P_Verantw,"Geschäftsleitung",P_Warte)</f>
        <v>720</v>
      </c>
    </row>
    <row r="29" customFormat="false" ht="16.5" hidden="false" customHeight="true" outlineLevel="0" collapsed="false">
      <c r="B29" s="54" t="s">
        <v>139</v>
      </c>
      <c r="C29" s="55" t="n">
        <f aca="false">COUNTIF(P_Verantw,"Wareneingang / Lager")</f>
        <v>1</v>
      </c>
      <c r="D29" s="55" t="n">
        <f aca="false">SUMIF(P_Verantw,"Wareneingang / Lager",P_Bearb)</f>
        <v>20</v>
      </c>
      <c r="E29" s="56" t="n">
        <f aca="false">IFERROR(SUMIF(P_Verantw,"Wareneingang / Lager",P_Bearb)/SUM(P_Bearb),0)</f>
        <v>0.0540540540540541</v>
      </c>
      <c r="F29" s="55" t="n">
        <f aca="false">SUMIF(P_Verantw,"Wareneingang / Lager",P_Warte)</f>
        <v>0</v>
      </c>
    </row>
    <row r="30" customFormat="false" ht="16.5" hidden="false" customHeight="true" outlineLevel="0" collapsed="false">
      <c r="B30" s="57" t="s">
        <v>113</v>
      </c>
      <c r="C30" s="58" t="n">
        <f aca="false">COUNTIF(P_Verantw,"Qualitätssicherung")</f>
        <v>2</v>
      </c>
      <c r="D30" s="58" t="n">
        <f aca="false">SUMIF(P_Verantw,"Qualitätssicherung",P_Bearb)</f>
        <v>35</v>
      </c>
      <c r="E30" s="59" t="n">
        <f aca="false">IFERROR(SUMIF(P_Verantw,"Qualitätssicherung",P_Bearb)/SUM(P_Bearb),0)</f>
        <v>0.0945945945945946</v>
      </c>
      <c r="F30" s="58" t="n">
        <f aca="false">SUMIF(P_Verantw,"Qualitätssicherung",P_Warte)</f>
        <v>0</v>
      </c>
    </row>
    <row r="31" customFormat="false" ht="16.5" hidden="false" customHeight="true" outlineLevel="0" collapsed="false">
      <c r="B31" s="54" t="s">
        <v>90</v>
      </c>
      <c r="C31" s="55" t="n">
        <f aca="false">COUNTIF(P_Verantw,"Buchhaltung")</f>
        <v>2</v>
      </c>
      <c r="D31" s="55" t="n">
        <f aca="false">SUMIF(P_Verantw,"Buchhaltung",P_Bearb)</f>
        <v>35</v>
      </c>
      <c r="E31" s="56" t="n">
        <f aca="false">IFERROR(SUMIF(P_Verantw,"Buchhaltung",P_Bearb)/SUM(P_Bearb),0)</f>
        <v>0.0945945945945946</v>
      </c>
      <c r="F31" s="55" t="n">
        <f aca="false">SUMIF(P_Verantw,"Buchhaltung",P_Warte)</f>
        <v>720</v>
      </c>
    </row>
    <row r="32" customFormat="false" ht="16.5" hidden="false" customHeight="true" outlineLevel="0" collapsed="false">
      <c r="B32" s="57" t="s">
        <v>219</v>
      </c>
      <c r="C32" s="58" t="n">
        <f aca="false">COUNTIF(P_Verantw,"Externe/r Lieferant")</f>
        <v>0</v>
      </c>
      <c r="D32" s="58" t="n">
        <f aca="false">SUMIF(P_Verantw,"Externe/r Lieferant",P_Bearb)</f>
        <v>0</v>
      </c>
      <c r="E32" s="59" t="n">
        <f aca="false">IFERROR(SUMIF(P_Verantw,"Externe/r Lieferant",P_Bearb)/SUM(P_Bearb),0)</f>
        <v>0</v>
      </c>
      <c r="F32" s="58" t="n">
        <f aca="false">SUMIF(P_Verantw,"Externe/r Lieferant",P_Warte)</f>
        <v>0</v>
      </c>
    </row>
    <row r="33" customFormat="false" ht="19.5" hidden="false" customHeight="true" outlineLevel="0" collapsed="false">
      <c r="B33" s="60" t="s">
        <v>209</v>
      </c>
      <c r="C33" s="36" t="n">
        <f aca="false">SUM(C25:C32)</f>
        <v>19</v>
      </c>
      <c r="D33" s="36" t="n">
        <f aca="false">SUM(D25:D32)</f>
        <v>370</v>
      </c>
      <c r="E33" s="61" t="n">
        <f aca="false">IFERROR(D33/SUM(P_Bearb),0)</f>
        <v>1</v>
      </c>
      <c r="F33" s="36" t="n">
        <f aca="false">SUM(F25:F32)</f>
        <v>10320</v>
      </c>
    </row>
    <row r="35" customFormat="false" ht="19.5" hidden="false" customHeight="true" outlineLevel="0" collapsed="false">
      <c r="B35" s="6" t="s">
        <v>220</v>
      </c>
      <c r="C35" s="6"/>
      <c r="D35" s="6"/>
      <c r="E35" s="6"/>
      <c r="F35" s="6"/>
      <c r="G35" s="6"/>
      <c r="H35" s="6"/>
      <c r="I35" s="6"/>
      <c r="J35" s="6"/>
      <c r="K35" s="6"/>
    </row>
    <row r="36" customFormat="false" ht="25.5" hidden="false" customHeight="true" outlineLevel="0" collapsed="false">
      <c r="B36" s="53" t="s">
        <v>221</v>
      </c>
      <c r="C36" s="22" t="s">
        <v>212</v>
      </c>
      <c r="D36" s="22" t="s">
        <v>205</v>
      </c>
      <c r="E36" s="22" t="s">
        <v>206</v>
      </c>
    </row>
    <row r="37" customFormat="false" ht="16.5" hidden="false" customHeight="true" outlineLevel="0" collapsed="false">
      <c r="B37" s="54" t="s">
        <v>68</v>
      </c>
      <c r="C37" s="55" t="n">
        <f aca="false">COUNTIF(P_Auto,"manuell")</f>
        <v>8</v>
      </c>
      <c r="D37" s="56" t="n">
        <f aca="false">IFERROR(COUNTIF(P_Auto,"manuell")/SUMPRODUCT(--(P_Taetigkeit&lt;&gt;"")),0)</f>
        <v>0.421052631578947</v>
      </c>
      <c r="E37" s="55" t="n">
        <f aca="false">SUMIF(P_Auto,"manuell",P_Bearb)</f>
        <v>185</v>
      </c>
    </row>
    <row r="38" customFormat="false" ht="16.5" hidden="false" customHeight="true" outlineLevel="0" collapsed="false">
      <c r="B38" s="57" t="s">
        <v>77</v>
      </c>
      <c r="C38" s="58" t="n">
        <f aca="false">COUNTIF(P_Auto,"teilautomatisiert")</f>
        <v>8</v>
      </c>
      <c r="D38" s="59" t="n">
        <f aca="false">IFERROR(COUNTIF(P_Auto,"teilautomatisiert")/SUMPRODUCT(--(P_Taetigkeit&lt;&gt;"")),0)</f>
        <v>0.421052631578947</v>
      </c>
      <c r="E38" s="58" t="n">
        <f aca="false">SUMIF(P_Auto,"teilautomatisiert",P_Bearb)</f>
        <v>160</v>
      </c>
    </row>
    <row r="39" customFormat="false" ht="16.5" hidden="false" customHeight="true" outlineLevel="0" collapsed="false">
      <c r="B39" s="54" t="s">
        <v>105</v>
      </c>
      <c r="C39" s="55" t="n">
        <f aca="false">COUNTIF(P_Auto,"automatisiert")</f>
        <v>3</v>
      </c>
      <c r="D39" s="56" t="n">
        <f aca="false">IFERROR(COUNTIF(P_Auto,"automatisiert")/SUMPRODUCT(--(P_Taetigkeit&lt;&gt;"")),0)</f>
        <v>0.157894736842105</v>
      </c>
      <c r="E39" s="55" t="n">
        <f aca="false">SUMIF(P_Auto,"automatisiert",P_Bearb)</f>
        <v>25</v>
      </c>
    </row>
    <row r="40" customFormat="false" ht="16.5" hidden="false" customHeight="true" outlineLevel="0" collapsed="false">
      <c r="B40" s="57" t="s">
        <v>222</v>
      </c>
      <c r="C40" s="58" t="n">
        <f aca="false">COUNTIF(P_Krit,"hoch")</f>
        <v>10</v>
      </c>
      <c r="D40" s="59" t="n">
        <f aca="false">IFERROR(COUNTIF(P_Krit,"hoch")/SUMPRODUCT(--(P_Taetigkeit&lt;&gt;"")),0)</f>
        <v>0.526315789473684</v>
      </c>
      <c r="E40" s="58" t="n">
        <f aca="false">SUMIF(P_Krit,"hoch",P_Bearb)</f>
        <v>190</v>
      </c>
    </row>
    <row r="41" customFormat="false" ht="16.5" hidden="false" customHeight="true" outlineLevel="0" collapsed="false">
      <c r="B41" s="54" t="s">
        <v>223</v>
      </c>
      <c r="C41" s="55" t="n">
        <f aca="false">COUNTIF(P_Krit,"mittel")</f>
        <v>7</v>
      </c>
      <c r="D41" s="56" t="n">
        <f aca="false">IFERROR(COUNTIF(P_Krit,"mittel")/SUMPRODUCT(--(P_Taetigkeit&lt;&gt;"")),0)</f>
        <v>0.368421052631579</v>
      </c>
      <c r="E41" s="55" t="n">
        <f aca="false">SUMIF(P_Krit,"mittel",P_Bearb)</f>
        <v>165</v>
      </c>
    </row>
    <row r="42" customFormat="false" ht="16.5" hidden="false" customHeight="true" outlineLevel="0" collapsed="false">
      <c r="B42" s="57" t="s">
        <v>224</v>
      </c>
      <c r="C42" s="58" t="n">
        <f aca="false">COUNTIF(P_Krit,"gering")</f>
        <v>2</v>
      </c>
      <c r="D42" s="59" t="n">
        <f aca="false">IFERROR(COUNTIF(P_Krit,"gering")/SUMPRODUCT(--(P_Taetigkeit&lt;&gt;"")),0)</f>
        <v>0.105263157894737</v>
      </c>
      <c r="E42" s="58" t="n">
        <f aca="false">SUMIF(P_Krit,"gering",P_Bearb)</f>
        <v>15</v>
      </c>
    </row>
    <row r="44" customFormat="false" ht="19.5" hidden="false" customHeight="true" outlineLevel="0" collapsed="false">
      <c r="B44" s="6" t="s">
        <v>225</v>
      </c>
      <c r="C44" s="6"/>
      <c r="D44" s="6"/>
      <c r="E44" s="6"/>
      <c r="F44" s="6"/>
      <c r="G44" s="6"/>
      <c r="H44" s="6"/>
      <c r="I44" s="6"/>
      <c r="J44" s="6"/>
      <c r="K44" s="6"/>
    </row>
    <row r="45" customFormat="false" ht="25.5" hidden="false" customHeight="true" outlineLevel="0" collapsed="false">
      <c r="B45" s="53" t="s">
        <v>226</v>
      </c>
      <c r="C45" s="22" t="s">
        <v>204</v>
      </c>
      <c r="D45" s="22" t="s">
        <v>227</v>
      </c>
    </row>
    <row r="46" customFormat="false" ht="16.5" hidden="false" customHeight="true" outlineLevel="0" collapsed="false">
      <c r="B46" s="54" t="s">
        <v>228</v>
      </c>
      <c r="C46" s="62" t="n">
        <f aca="false">SUMPRODUCT((P_Taetigkeit&lt;&gt;"")*(P_Verantw=""))</f>
        <v>0</v>
      </c>
      <c r="D46" s="63" t="str">
        <f aca="false">IF(C46=0,"OK","PRÜFEN")</f>
        <v>OK</v>
      </c>
    </row>
    <row r="47" customFormat="false" ht="16.5" hidden="false" customHeight="true" outlineLevel="0" collapsed="false">
      <c r="B47" s="57" t="s">
        <v>229</v>
      </c>
      <c r="C47" s="64" t="n">
        <f aca="false">SUMPRODUCT((P_Taetigkeit&lt;&gt;"")*(P_Output=""))</f>
        <v>0</v>
      </c>
      <c r="D47" s="65" t="str">
        <f aca="false">IF(C47=0,"OK","PRÜFEN")</f>
        <v>OK</v>
      </c>
    </row>
    <row r="48" customFormat="false" ht="16.5" hidden="false" customHeight="true" outlineLevel="0" collapsed="false">
      <c r="B48" s="54" t="s">
        <v>230</v>
      </c>
      <c r="C48" s="62" t="n">
        <f aca="false">SUMPRODUCT((P_Typ="Entscheidung")*((P_Kriterium="")+(P_Kriterium="—")))</f>
        <v>0</v>
      </c>
      <c r="D48" s="63" t="str">
        <f aca="false">IF(C48=0,"OK","PRÜFEN")</f>
        <v>OK</v>
      </c>
    </row>
    <row r="49" customFormat="false" ht="16.5" hidden="false" customHeight="true" outlineLevel="0" collapsed="false">
      <c r="B49" s="57" t="s">
        <v>231</v>
      </c>
      <c r="C49" s="64" t="n">
        <f aca="false">SUMPRODUCT((P_Taetigkeit&lt;&gt;"")*(P_Bearb=""))</f>
        <v>0</v>
      </c>
      <c r="D49" s="65" t="str">
        <f aca="false">IF(C49=0,"OK","PRÜFEN")</f>
        <v>OK</v>
      </c>
    </row>
    <row r="50" customFormat="false" ht="16.5" hidden="false" customHeight="true" outlineLevel="0" collapsed="false">
      <c r="B50" s="54" t="s">
        <v>232</v>
      </c>
      <c r="C50" s="62" t="n">
        <f aca="false">SUMPRODUCT((P_Taetigkeit&lt;&gt;"")*(N(P_Warte)&gt;=1440))</f>
        <v>3</v>
      </c>
      <c r="D50" s="63" t="str">
        <f aca="false">IF(C50=0,"OK","PRÜFEN")</f>
        <v>PRÜFEN</v>
      </c>
    </row>
    <row r="51" customFormat="false" ht="16.5" hidden="false" customHeight="true" outlineLevel="0" collapsed="false">
      <c r="B51" s="57" t="s">
        <v>233</v>
      </c>
      <c r="C51" s="64" t="n">
        <f aca="false">SUMPRODUCT((P_Auto="manuell")*(P_Krit="hoch"))</f>
        <v>4</v>
      </c>
      <c r="D51" s="65" t="str">
        <f aca="false">IF(C51=0,"OK","PRÜFEN")</f>
        <v>PRÜFEN</v>
      </c>
    </row>
    <row r="53" customFormat="false" ht="15" hidden="false" customHeight="false" outlineLevel="0" collapsed="false">
      <c r="B53" s="66" t="s">
        <v>234</v>
      </c>
      <c r="C53" s="66"/>
      <c r="D53" s="66"/>
      <c r="E53" s="66"/>
      <c r="F53" s="66"/>
      <c r="G53" s="66"/>
      <c r="H53" s="66"/>
      <c r="I53" s="66"/>
      <c r="J53" s="66"/>
      <c r="K53" s="66"/>
    </row>
  </sheetData>
  <mergeCells count="8">
    <mergeCell ref="B2:K2"/>
    <mergeCell ref="B3:K3"/>
    <mergeCell ref="B5:K5"/>
    <mergeCell ref="B14:K14"/>
    <mergeCell ref="B23:K23"/>
    <mergeCell ref="B35:K35"/>
    <mergeCell ref="B44:K44"/>
    <mergeCell ref="B53:K53"/>
  </mergeCells>
  <conditionalFormatting sqref="G16:G20">
    <cfRule type="dataBar" priority="2">
      <dataBar showValue="1" minLength="10" maxLength="90">
        <cfvo type="num" val="0"/>
        <cfvo type="max" val="0"/>
        <color rgb="FF9C6B4A"/>
      </dataBar>
      <extLst>
        <ext xmlns:x14="http://schemas.microsoft.com/office/spreadsheetml/2009/9/main" uri="{B025F937-C7B1-47D3-B67F-A62EFF666E3E}">
          <x14:id>{2523CE6E-ECD6-4B1C-B5D8-5FA077EE9CA4}</x14:id>
        </ext>
      </extLst>
    </cfRule>
  </conditionalFormatting>
  <conditionalFormatting sqref="D46:D51">
    <cfRule type="cellIs" priority="3" operator="equal" aboveAverage="0" equalAverage="0" bottom="0" percent="0" rank="0" text="" dxfId="9">
      <formula>"PRÜFEN"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54" man="true" max="16383" min="0"/>
  </rowBreaks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523CE6E-ECD6-4B1C-B5D8-5FA077EE9CA4}">
            <x14:dataBar minLength="10" maxLength="90" axisPosition="none" gradient="true">
              <x14:cfvo type="num">
                <xm:f>0</xm:f>
              </x14:cfvo>
              <x14:cfvo type="max"/>
              <x14:negativeFillColor rgb="FF9C6B4A"/>
              <x14:axisColor rgb="FF000000"/>
            </x14:dataBar>
          </x14:cfRule>
          <xm:sqref>G16:G20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B07D3A"/>
    <pageSetUpPr fitToPage="true"/>
  </sheetPr>
  <dimension ref="B2:H3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30"/>
    <col collapsed="false" customWidth="true" hidden="false" outlineLevel="0" max="3" min="3" style="0" width="22"/>
    <col collapsed="false" customWidth="true" hidden="false" outlineLevel="0" max="5" min="4" style="0" width="26"/>
    <col collapsed="false" customWidth="true" hidden="false" outlineLevel="0" max="6" min="6" style="0" width="20"/>
    <col collapsed="false" customWidth="true" hidden="false" outlineLevel="0" max="8" min="7" style="0" width="16"/>
  </cols>
  <sheetData>
    <row r="2" customFormat="false" ht="31.5" hidden="false" customHeight="true" outlineLevel="0" collapsed="false">
      <c r="B2" s="52" t="s">
        <v>235</v>
      </c>
      <c r="C2" s="52"/>
      <c r="D2" s="52"/>
      <c r="E2" s="52"/>
      <c r="F2" s="52"/>
      <c r="G2" s="52"/>
      <c r="H2" s="52"/>
    </row>
    <row r="3" customFormat="false" ht="18.75" hidden="false" customHeight="true" outlineLevel="0" collapsed="false">
      <c r="B3" s="2" t="s">
        <v>236</v>
      </c>
      <c r="C3" s="2"/>
      <c r="D3" s="2"/>
      <c r="E3" s="2"/>
      <c r="F3" s="2"/>
      <c r="G3" s="2"/>
      <c r="H3" s="2"/>
    </row>
    <row r="5" customFormat="false" ht="19.5" hidden="false" customHeight="true" outlineLevel="0" collapsed="false">
      <c r="B5" s="6" t="s">
        <v>237</v>
      </c>
      <c r="C5" s="6"/>
      <c r="D5" s="6"/>
      <c r="E5" s="6"/>
      <c r="F5" s="6"/>
      <c r="G5" s="6"/>
      <c r="H5" s="6"/>
    </row>
    <row r="6" customFormat="false" ht="30" hidden="false" customHeight="true" outlineLevel="0" collapsed="false">
      <c r="B6" s="67" t="s">
        <v>238</v>
      </c>
      <c r="C6" s="68" t="s">
        <v>239</v>
      </c>
      <c r="D6" s="68"/>
      <c r="E6" s="68"/>
      <c r="F6" s="68"/>
      <c r="G6" s="68"/>
      <c r="H6" s="68"/>
    </row>
    <row r="7" customFormat="false" ht="30" hidden="false" customHeight="true" outlineLevel="0" collapsed="false">
      <c r="B7" s="67" t="s">
        <v>240</v>
      </c>
      <c r="C7" s="68" t="s">
        <v>241</v>
      </c>
      <c r="D7" s="68"/>
      <c r="E7" s="68"/>
      <c r="F7" s="68"/>
      <c r="G7" s="68"/>
      <c r="H7" s="68"/>
    </row>
    <row r="8" customFormat="false" ht="30" hidden="false" customHeight="true" outlineLevel="0" collapsed="false">
      <c r="B8" s="67" t="s">
        <v>242</v>
      </c>
      <c r="C8" s="68" t="s">
        <v>243</v>
      </c>
      <c r="D8" s="68"/>
      <c r="E8" s="68"/>
      <c r="F8" s="68"/>
      <c r="G8" s="68"/>
      <c r="H8" s="68"/>
    </row>
    <row r="9" customFormat="false" ht="30" hidden="false" customHeight="true" outlineLevel="0" collapsed="false">
      <c r="B9" s="67" t="s">
        <v>244</v>
      </c>
      <c r="C9" s="68" t="s">
        <v>245</v>
      </c>
      <c r="D9" s="68"/>
      <c r="E9" s="68"/>
      <c r="F9" s="68"/>
      <c r="G9" s="68"/>
      <c r="H9" s="68"/>
    </row>
    <row r="10" customFormat="false" ht="30" hidden="false" customHeight="true" outlineLevel="0" collapsed="false">
      <c r="B10" s="67" t="s">
        <v>246</v>
      </c>
      <c r="C10" s="68" t="s">
        <v>247</v>
      </c>
      <c r="D10" s="68"/>
      <c r="E10" s="68"/>
      <c r="F10" s="68"/>
      <c r="G10" s="68"/>
      <c r="H10" s="68"/>
    </row>
    <row r="12" customFormat="false" ht="19.5" hidden="false" customHeight="true" outlineLevel="0" collapsed="false">
      <c r="B12" s="6" t="s">
        <v>248</v>
      </c>
      <c r="C12" s="6"/>
      <c r="D12" s="6"/>
      <c r="E12" s="6"/>
      <c r="F12" s="6"/>
      <c r="G12" s="6"/>
      <c r="H12" s="6"/>
    </row>
    <row r="13" customFormat="false" ht="21.75" hidden="false" customHeight="true" outlineLevel="0" collapsed="false">
      <c r="B13" s="67" t="s">
        <v>61</v>
      </c>
      <c r="C13" s="68" t="s">
        <v>249</v>
      </c>
      <c r="D13" s="68"/>
      <c r="E13" s="68"/>
      <c r="F13" s="68"/>
      <c r="G13" s="68"/>
      <c r="H13" s="68"/>
    </row>
    <row r="14" customFormat="false" ht="21.75" hidden="false" customHeight="true" outlineLevel="0" collapsed="false">
      <c r="B14" s="67" t="s">
        <v>70</v>
      </c>
      <c r="C14" s="68" t="s">
        <v>250</v>
      </c>
      <c r="D14" s="68"/>
      <c r="E14" s="68"/>
      <c r="F14" s="68"/>
      <c r="G14" s="68"/>
      <c r="H14" s="68"/>
    </row>
    <row r="15" customFormat="false" ht="21.75" hidden="false" customHeight="true" outlineLevel="0" collapsed="false">
      <c r="B15" s="67" t="s">
        <v>79</v>
      </c>
      <c r="C15" s="68" t="s">
        <v>251</v>
      </c>
      <c r="D15" s="68"/>
      <c r="E15" s="68"/>
      <c r="F15" s="68"/>
      <c r="G15" s="68"/>
      <c r="H15" s="68"/>
    </row>
    <row r="16" customFormat="false" ht="21.75" hidden="false" customHeight="true" outlineLevel="0" collapsed="false">
      <c r="B16" s="67" t="s">
        <v>86</v>
      </c>
      <c r="C16" s="68" t="s">
        <v>252</v>
      </c>
      <c r="D16" s="68"/>
      <c r="E16" s="68"/>
      <c r="F16" s="68"/>
      <c r="G16" s="68"/>
      <c r="H16" s="68"/>
    </row>
    <row r="17" customFormat="false" ht="21.75" hidden="false" customHeight="true" outlineLevel="0" collapsed="false">
      <c r="B17" s="67" t="s">
        <v>164</v>
      </c>
      <c r="C17" s="68" t="s">
        <v>253</v>
      </c>
      <c r="D17" s="68"/>
      <c r="E17" s="68"/>
      <c r="F17" s="68"/>
      <c r="G17" s="68"/>
      <c r="H17" s="68"/>
    </row>
    <row r="18" customFormat="false" ht="21.75" hidden="false" customHeight="true" outlineLevel="0" collapsed="false">
      <c r="B18" s="67" t="s">
        <v>58</v>
      </c>
      <c r="C18" s="68" t="s">
        <v>254</v>
      </c>
      <c r="D18" s="68"/>
      <c r="E18" s="68"/>
      <c r="F18" s="68"/>
      <c r="G18" s="68"/>
      <c r="H18" s="68"/>
    </row>
    <row r="19" customFormat="false" ht="21.75" hidden="false" customHeight="true" outlineLevel="0" collapsed="false">
      <c r="B19" s="67" t="s">
        <v>214</v>
      </c>
      <c r="C19" s="68" t="s">
        <v>255</v>
      </c>
      <c r="D19" s="68"/>
      <c r="E19" s="68"/>
      <c r="F19" s="68"/>
      <c r="G19" s="68"/>
      <c r="H19" s="68"/>
    </row>
    <row r="21" customFormat="false" ht="19.5" hidden="false" customHeight="true" outlineLevel="0" collapsed="false">
      <c r="B21" s="69" t="s">
        <v>256</v>
      </c>
      <c r="C21" s="69"/>
      <c r="D21" s="69"/>
      <c r="E21" s="69"/>
      <c r="F21" s="69"/>
      <c r="G21" s="69"/>
      <c r="H21" s="69"/>
    </row>
    <row r="22" customFormat="false" ht="21.75" hidden="false" customHeight="true" outlineLevel="0" collapsed="false">
      <c r="B22" s="70" t="s">
        <v>44</v>
      </c>
      <c r="C22" s="70" t="s">
        <v>45</v>
      </c>
      <c r="D22" s="70" t="s">
        <v>216</v>
      </c>
      <c r="E22" s="70" t="s">
        <v>52</v>
      </c>
      <c r="F22" s="70" t="s">
        <v>57</v>
      </c>
      <c r="G22" s="70" t="s">
        <v>58</v>
      </c>
    </row>
    <row r="23" customFormat="false" ht="16.5" hidden="false" customHeight="true" outlineLevel="0" collapsed="false">
      <c r="B23" s="71" t="s">
        <v>60</v>
      </c>
      <c r="C23" s="71" t="s">
        <v>61</v>
      </c>
      <c r="D23" s="71" t="s">
        <v>64</v>
      </c>
      <c r="E23" s="71" t="s">
        <v>83</v>
      </c>
      <c r="F23" s="71" t="s">
        <v>68</v>
      </c>
      <c r="G23" s="71" t="s">
        <v>93</v>
      </c>
    </row>
    <row r="24" customFormat="false" ht="16.5" hidden="false" customHeight="true" outlineLevel="0" collapsed="false">
      <c r="B24" s="10" t="s">
        <v>85</v>
      </c>
      <c r="C24" s="10" t="s">
        <v>70</v>
      </c>
      <c r="D24" s="10" t="s">
        <v>73</v>
      </c>
      <c r="E24" s="10" t="s">
        <v>130</v>
      </c>
      <c r="F24" s="10" t="s">
        <v>77</v>
      </c>
      <c r="G24" s="10" t="s">
        <v>78</v>
      </c>
    </row>
    <row r="25" customFormat="false" ht="16.5" hidden="false" customHeight="true" outlineLevel="0" collapsed="false">
      <c r="B25" s="71" t="s">
        <v>117</v>
      </c>
      <c r="C25" s="71" t="s">
        <v>79</v>
      </c>
      <c r="D25" s="71" t="s">
        <v>89</v>
      </c>
      <c r="E25" s="71" t="s">
        <v>75</v>
      </c>
      <c r="F25" s="71" t="s">
        <v>105</v>
      </c>
      <c r="G25" s="71" t="s">
        <v>69</v>
      </c>
    </row>
    <row r="26" customFormat="false" ht="16.5" hidden="false" customHeight="true" outlineLevel="0" collapsed="false">
      <c r="B26" s="10" t="s">
        <v>132</v>
      </c>
      <c r="C26" s="10" t="s">
        <v>86</v>
      </c>
      <c r="D26" s="10" t="s">
        <v>128</v>
      </c>
      <c r="E26" s="10" t="s">
        <v>121</v>
      </c>
      <c r="F26" s="10"/>
      <c r="G26" s="10"/>
    </row>
    <row r="27" customFormat="false" ht="16.5" hidden="false" customHeight="true" outlineLevel="0" collapsed="false">
      <c r="B27" s="71" t="s">
        <v>154</v>
      </c>
      <c r="C27" s="71" t="s">
        <v>164</v>
      </c>
      <c r="D27" s="71" t="s">
        <v>139</v>
      </c>
      <c r="E27" s="71" t="s">
        <v>98</v>
      </c>
      <c r="F27" s="71"/>
      <c r="G27" s="71"/>
    </row>
    <row r="28" customFormat="false" ht="16.5" hidden="false" customHeight="true" outlineLevel="0" collapsed="false">
      <c r="B28" s="10"/>
      <c r="C28" s="10"/>
      <c r="D28" s="10" t="s">
        <v>113</v>
      </c>
      <c r="E28" s="10" t="s">
        <v>115</v>
      </c>
      <c r="F28" s="10"/>
      <c r="G28" s="10"/>
    </row>
    <row r="29" customFormat="false" ht="16.5" hidden="false" customHeight="true" outlineLevel="0" collapsed="false">
      <c r="B29" s="71"/>
      <c r="C29" s="71"/>
      <c r="D29" s="71" t="s">
        <v>90</v>
      </c>
      <c r="E29" s="71" t="s">
        <v>65</v>
      </c>
      <c r="F29" s="71"/>
      <c r="G29" s="71"/>
    </row>
    <row r="30" customFormat="false" ht="16.5" hidden="false" customHeight="true" outlineLevel="0" collapsed="false">
      <c r="B30" s="10"/>
      <c r="C30" s="10"/>
      <c r="D30" s="10" t="s">
        <v>219</v>
      </c>
      <c r="E30" s="10"/>
      <c r="F30" s="10"/>
      <c r="G30" s="10"/>
    </row>
    <row r="32" customFormat="false" ht="15" hidden="false" customHeight="true" outlineLevel="0" collapsed="false">
      <c r="B32" s="72" t="s">
        <v>257</v>
      </c>
      <c r="C32" s="72"/>
      <c r="D32" s="72"/>
      <c r="E32" s="72"/>
      <c r="F32" s="72"/>
      <c r="G32" s="72"/>
      <c r="H32" s="72"/>
    </row>
    <row r="33" customFormat="false" ht="15" hidden="false" customHeight="false" outlineLevel="0" collapsed="false">
      <c r="B33" s="72"/>
      <c r="C33" s="72"/>
      <c r="D33" s="72"/>
      <c r="E33" s="72"/>
      <c r="F33" s="72"/>
      <c r="G33" s="72"/>
      <c r="H33" s="72"/>
    </row>
  </sheetData>
  <mergeCells count="18">
    <mergeCell ref="B2:H2"/>
    <mergeCell ref="B3:H3"/>
    <mergeCell ref="B5:H5"/>
    <mergeCell ref="C6:H6"/>
    <mergeCell ref="C7:H7"/>
    <mergeCell ref="C8:H8"/>
    <mergeCell ref="C9:H9"/>
    <mergeCell ref="C10:H10"/>
    <mergeCell ref="B12:H12"/>
    <mergeCell ref="C13:H13"/>
    <mergeCell ref="C14:H14"/>
    <mergeCell ref="C15:H15"/>
    <mergeCell ref="C16:H16"/>
    <mergeCell ref="C17:H17"/>
    <mergeCell ref="C18:H18"/>
    <mergeCell ref="C19:H19"/>
    <mergeCell ref="B21:H21"/>
    <mergeCell ref="B32:H3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2026-08-23T08:55:26Z</dcterms:created>
  <dc:creator>openpyxl</dc:creator>
  <dc:description/>
  <dc:language>en-US</dc:language>
  <cp:lastModifiedBy/>
  <dcterms:modified xsi:type="dcterms:W3CDTF">2026-08-23T08:55:28Z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