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15D97852-3B9D-444B-92F0-73F0E7621420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Raumbuch" sheetId="1" r:id="rId1"/>
    <sheet name="Auswertung" sheetId="2" r:id="rId2"/>
    <sheet name="Listen" sheetId="3" r:id="rId3"/>
  </sheets>
  <definedNames>
    <definedName name="_xlnm._FilterDatabase" localSheetId="0" hidden="1">Raumbuch!$A$8:$O$38</definedName>
    <definedName name="_xlnm.Print_Area" localSheetId="0">Raumbuch!$A$1:$O$39</definedName>
    <definedName name="_xlnm.Print_Titles" localSheetId="0">Raumbuch!$1:$8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2" i="2" l="1"/>
  <c r="C52" i="2"/>
  <c r="D51" i="2"/>
  <c r="C51" i="2"/>
  <c r="D50" i="2"/>
  <c r="C50" i="2"/>
  <c r="D49" i="2"/>
  <c r="D53" i="2" s="1"/>
  <c r="C49" i="2"/>
  <c r="C53" i="2" s="1"/>
  <c r="C44" i="2"/>
  <c r="C43" i="2"/>
  <c r="C42" i="2"/>
  <c r="C41" i="2"/>
  <c r="C40" i="2"/>
  <c r="C39" i="2"/>
  <c r="C38" i="2"/>
  <c r="C45" i="2" s="1"/>
  <c r="D33" i="2"/>
  <c r="C33" i="2"/>
  <c r="D32" i="2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D34" i="2" s="1"/>
  <c r="C22" i="2"/>
  <c r="C34" i="2" s="1"/>
  <c r="E17" i="2"/>
  <c r="D17" i="2"/>
  <c r="C17" i="2"/>
  <c r="E16" i="2"/>
  <c r="D16" i="2"/>
  <c r="C16" i="2"/>
  <c r="E15" i="2"/>
  <c r="D15" i="2"/>
  <c r="C15" i="2"/>
  <c r="E14" i="2"/>
  <c r="D14" i="2"/>
  <c r="C14" i="2"/>
  <c r="E13" i="2"/>
  <c r="D13" i="2"/>
  <c r="C13" i="2"/>
  <c r="C18" i="2" s="1"/>
  <c r="E12" i="2"/>
  <c r="D12" i="2"/>
  <c r="C12" i="2"/>
  <c r="E11" i="2"/>
  <c r="E18" i="2" s="1"/>
  <c r="D11" i="2"/>
  <c r="D18" i="2" s="1"/>
  <c r="C11" i="2"/>
  <c r="G6" i="2"/>
  <c r="E6" i="2"/>
  <c r="C6" i="2"/>
  <c r="B6" i="2"/>
  <c r="L39" i="1"/>
  <c r="M39" i="1" s="1"/>
  <c r="E39" i="1"/>
  <c r="M23" i="1"/>
  <c r="G23" i="1"/>
  <c r="M22" i="1"/>
  <c r="G22" i="1"/>
  <c r="M21" i="1"/>
  <c r="G21" i="1"/>
  <c r="M20" i="1"/>
  <c r="G20" i="1"/>
  <c r="M19" i="1"/>
  <c r="G19" i="1"/>
  <c r="M18" i="1"/>
  <c r="G18" i="1"/>
  <c r="M17" i="1"/>
  <c r="G17" i="1"/>
  <c r="M16" i="1"/>
  <c r="G16" i="1"/>
  <c r="M15" i="1"/>
  <c r="G15" i="1"/>
  <c r="M14" i="1"/>
  <c r="G14" i="1"/>
  <c r="M13" i="1"/>
  <c r="G13" i="1"/>
  <c r="M12" i="1"/>
  <c r="G12" i="1"/>
  <c r="M11" i="1"/>
  <c r="G11" i="1"/>
  <c r="M10" i="1"/>
  <c r="G10" i="1"/>
  <c r="M9" i="1"/>
  <c r="G9" i="1"/>
  <c r="D6" i="2" s="1"/>
  <c r="G39" i="1" l="1"/>
</calcChain>
</file>

<file path=xl/sharedStrings.xml><?xml version="1.0" encoding="utf-8"?>
<sst xmlns="http://schemas.openxmlformats.org/spreadsheetml/2006/main" count="312" uniqueCount="170">
  <si>
    <t>Raum- und Ausstattungsdokumentation  ·  Flächen nach DIN 277  ·  Kostengruppen nach DIN 276</t>
  </si>
  <si>
    <t>Projekt:</t>
  </si>
  <si>
    <t>Neubau Bürogebäude „Nordkontor"</t>
  </si>
  <si>
    <t>Projekt-Nr.:</t>
  </si>
  <si>
    <t>2026-047</t>
  </si>
  <si>
    <t>Bauherr:</t>
  </si>
  <si>
    <t>Lindmann Immobilien GmbH</t>
  </si>
  <si>
    <t>Bearbeiter:</t>
  </si>
  <si>
    <t>M. Brandt</t>
  </si>
  <si>
    <t>Standort:</t>
  </si>
  <si>
    <t>Gewerbepark Süd 8, 30159 Hannover</t>
  </si>
  <si>
    <t>Version / Stand:</t>
  </si>
  <si>
    <t>V1.2  ·  15.04.2026</t>
  </si>
  <si>
    <t>Hinweis: Grau hinterlegte Spalten (Volumen, Kosten/m²) werden automatisch berechnet – bitte nicht überschreiben.  Felder mit ▾ nutzen Dropdown-Listen aus dem Blatt „Listen".</t>
  </si>
  <si>
    <t>Raum-Nr.</t>
  </si>
  <si>
    <t>Geschoss  ▾</t>
  </si>
  <si>
    <t>Raumbezeichnung</t>
  </si>
  <si>
    <t>Nutzungsart  ▾</t>
  </si>
  <si>
    <t>Fläche</t>
  </si>
  <si>
    <t>Raumhöhe</t>
  </si>
  <si>
    <t>Volumen</t>
  </si>
  <si>
    <t>Bodenbelag  ▾</t>
  </si>
  <si>
    <t>Wandbelag  ▾</t>
  </si>
  <si>
    <t>Decke  ▾</t>
  </si>
  <si>
    <t>KG DIN 276  ▾</t>
  </si>
  <si>
    <t>Ausstattungs-
kosten</t>
  </si>
  <si>
    <t>Kosten/m²</t>
  </si>
  <si>
    <t>Status  ▾</t>
  </si>
  <si>
    <t>Bemerkung</t>
  </si>
  <si>
    <t>U.01</t>
  </si>
  <si>
    <t>UG</t>
  </si>
  <si>
    <t>Heizung / Lüftung</t>
  </si>
  <si>
    <t>Technik</t>
  </si>
  <si>
    <t>Sichtestrich</t>
  </si>
  <si>
    <t>Sichtbeton</t>
  </si>
  <si>
    <t>400</t>
  </si>
  <si>
    <t>Abgeschlossen</t>
  </si>
  <si>
    <t>inkl. RLT-Anlage, Doppelboden</t>
  </si>
  <si>
    <t>U.02</t>
  </si>
  <si>
    <t>Lager Betriebstechnik</t>
  </si>
  <si>
    <t>Lager</t>
  </si>
  <si>
    <t>Anstrich (Dispersion)</t>
  </si>
  <si>
    <t>610</t>
  </si>
  <si>
    <t>Planung</t>
  </si>
  <si>
    <t>Regalsystem geplant</t>
  </si>
  <si>
    <t>U.03</t>
  </si>
  <si>
    <t>Aktenarchiv</t>
  </si>
  <si>
    <t>Archiv</t>
  </si>
  <si>
    <t>Linoleum</t>
  </si>
  <si>
    <t>Rasterdecke (abgehängt)</t>
  </si>
  <si>
    <t>Brandschutz F90</t>
  </si>
  <si>
    <t>E.01</t>
  </si>
  <si>
    <t>EG</t>
  </si>
  <si>
    <t>Empfang &amp; Foyer</t>
  </si>
  <si>
    <t>Empfang/Foyer</t>
  </si>
  <si>
    <t>Feinsteinzeug</t>
  </si>
  <si>
    <t>Glastrennwand</t>
  </si>
  <si>
    <t>Akustikdecke</t>
  </si>
  <si>
    <t>300</t>
  </si>
  <si>
    <t>in Bearbeitung</t>
  </si>
  <si>
    <t>barrierefrei, Tresenmöbel</t>
  </si>
  <si>
    <t>E.02</t>
  </si>
  <si>
    <t>Besprechung EG</t>
  </si>
  <si>
    <t>Besprechung</t>
  </si>
  <si>
    <t>Teppichfliesen</t>
  </si>
  <si>
    <t>GK-Ständerwand</t>
  </si>
  <si>
    <t>Medientechnik, Akustik</t>
  </si>
  <si>
    <t>E.03</t>
  </si>
  <si>
    <t>Teeküche EG</t>
  </si>
  <si>
    <t>Teeküche</t>
  </si>
  <si>
    <t>Fliesen</t>
  </si>
  <si>
    <t>Gipskarton</t>
  </si>
  <si>
    <t>Ausführung</t>
  </si>
  <si>
    <t>Küchenzeile, Spüle</t>
  </si>
  <si>
    <t>E.04</t>
  </si>
  <si>
    <t>WC Damen EG</t>
  </si>
  <si>
    <t>Sanitär/WC</t>
  </si>
  <si>
    <t>Sicherheitsfliesen</t>
  </si>
  <si>
    <t>barrierefreie Kabine</t>
  </si>
  <si>
    <t>E.05</t>
  </si>
  <si>
    <t>WC Herren EG</t>
  </si>
  <si>
    <t>E.06</t>
  </si>
  <si>
    <t>Flur EG</t>
  </si>
  <si>
    <t>Flur/Verkehr</t>
  </si>
  <si>
    <t>352</t>
  </si>
  <si>
    <t>Fluchtweg, Notbeleuchtung</t>
  </si>
  <si>
    <t>1.01</t>
  </si>
  <si>
    <t>1.OG</t>
  </si>
  <si>
    <t>Großraumbüro Vertrieb</t>
  </si>
  <si>
    <t>Großraumbüro</t>
  </si>
  <si>
    <t>Doppelboden, 12 Arbeitsplätze</t>
  </si>
  <si>
    <t>1.02</t>
  </si>
  <si>
    <t>Büro 1.02</t>
  </si>
  <si>
    <t>Büro</t>
  </si>
  <si>
    <t>1.03</t>
  </si>
  <si>
    <t>Büro 1.03</t>
  </si>
  <si>
    <t>1.04</t>
  </si>
  <si>
    <t>Besprechung 1.OG</t>
  </si>
  <si>
    <t>Parkett</t>
  </si>
  <si>
    <t>Akustikpaneel</t>
  </si>
  <si>
    <t>344</t>
  </si>
  <si>
    <t>Glastür T30</t>
  </si>
  <si>
    <t>1.05</t>
  </si>
  <si>
    <t>Serverraum</t>
  </si>
  <si>
    <t>Kautschuk</t>
  </si>
  <si>
    <t>Metallpaneel</t>
  </si>
  <si>
    <t>440</t>
  </si>
  <si>
    <t>Klimatisierung, USV</t>
  </si>
  <si>
    <t>1.06</t>
  </si>
  <si>
    <t>Sozialraum / Pause</t>
  </si>
  <si>
    <t>Sozialraum</t>
  </si>
  <si>
    <t>PVC/Vinyl</t>
  </si>
  <si>
    <t>Tapete</t>
  </si>
  <si>
    <t>334</t>
  </si>
  <si>
    <t>Pausenmöblierung</t>
  </si>
  <si>
    <t>GESAMT</t>
  </si>
  <si>
    <t>AUSWERTUNG</t>
  </si>
  <si>
    <t>Kennzahlen und Verteilungen – automatisch aus dem Blatt „Raumbuch" berechnet</t>
  </si>
  <si>
    <t>Anzahl Räume</t>
  </si>
  <si>
    <t>Gesamtfläche</t>
  </si>
  <si>
    <t>Gesamtvolumen</t>
  </si>
  <si>
    <t>Gesamtkosten</t>
  </si>
  <si>
    <t>Ø Kosten/m²</t>
  </si>
  <si>
    <t>Auswertung nach Geschoss</t>
  </si>
  <si>
    <t>Geschoss</t>
  </si>
  <si>
    <t>Räume</t>
  </si>
  <si>
    <t>Kosten</t>
  </si>
  <si>
    <t>2.OG</t>
  </si>
  <si>
    <t>3.OG</t>
  </si>
  <si>
    <t>DG</t>
  </si>
  <si>
    <t>Staffelgeschoss</t>
  </si>
  <si>
    <t>Summe</t>
  </si>
  <si>
    <t>Auswertung nach Nutzungsart</t>
  </si>
  <si>
    <t>Nutzungsart</t>
  </si>
  <si>
    <t>nach Kostengruppe (DIN 276)</t>
  </si>
  <si>
    <t>Kostengruppe</t>
  </si>
  <si>
    <t>300 · Baukonstr.</t>
  </si>
  <si>
    <t>334 · Außentüren</t>
  </si>
  <si>
    <t>344 · Innentüren</t>
  </si>
  <si>
    <t>352 · Deckenbeläge</t>
  </si>
  <si>
    <t>400 · Techn. Anlagen</t>
  </si>
  <si>
    <t>440 · Starkstrom</t>
  </si>
  <si>
    <t>610 · Ausstattung</t>
  </si>
  <si>
    <t>Status-Übersicht</t>
  </si>
  <si>
    <t>Status</t>
  </si>
  <si>
    <t>LISTEN &amp; LEGENDE</t>
  </si>
  <si>
    <t>Quelldaten für die Dropdown-Felder im Raumbuch – bei Bedarf erweitern</t>
  </si>
  <si>
    <t>Bodenbelag</t>
  </si>
  <si>
    <t>Wandbelag</t>
  </si>
  <si>
    <t>Decke</t>
  </si>
  <si>
    <t>Kostengruppe DIN 276</t>
  </si>
  <si>
    <t>Putzdecke</t>
  </si>
  <si>
    <t>FARB- &amp; FELDLEGENDE</t>
  </si>
  <si>
    <t>Eingabefeld</t>
  </si>
  <si>
    <t>Vom Nutzer auszufüllen (weißer Hintergrund).</t>
  </si>
  <si>
    <t>Auswahlfeld  ▾</t>
  </si>
  <si>
    <t>Wert aus Dropdown-Liste wählen (Spalten mit ▾).</t>
  </si>
  <si>
    <t>Automatische Berechnung</t>
  </si>
  <si>
    <t>Grau hinterlegt – Formel, bitte nicht überschreiben.</t>
  </si>
  <si>
    <t>Pflichtfeld fehlt</t>
  </si>
  <si>
    <t>Rot = Angabe in begonnener Zeile ergänzen.</t>
  </si>
  <si>
    <t>Plausibilitätswarnung</t>
  </si>
  <si>
    <t>Ámber = Wert prüfen (z. B. Raumhöhe &lt; 2 m oder &gt; 6 m).</t>
  </si>
  <si>
    <t>Status: Abgeschlossen</t>
  </si>
  <si>
    <t>Blau markiert im Feld Status.</t>
  </si>
  <si>
    <t>Status: in Bearbeitung / Ausführung</t>
  </si>
  <si>
    <t>Ámber markiert im Feld Status.</t>
  </si>
  <si>
    <t>Status: Planung</t>
  </si>
  <si>
    <t>Grau markiert im Feld Status.</t>
  </si>
  <si>
    <t>RAUMBUCH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</si>
</sst>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&quot; m²&quot;"/>
    <numFmt numFmtId="165" formatCode="0.00&quot; m&quot;"/>
    <numFmt numFmtId="166" formatCode="#,##0.0&quot; m³&quot;"/>
    <numFmt numFmtId="167" formatCode="#,##0&quot; €&quot;"/>
    <numFmt numFmtId="168" formatCode="#,##0.00&quot; €&quot;"/>
    <numFmt numFmtId="169" formatCode="#,##0.0&quot; m²&quot;"/>
  </numFmts>
  <fonts count="16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b/>
      <sz val="10"/>
      <color rgb="FFB0812E"/>
      <name val="Calibri"/>
      <charset val="1"/>
    </font>
    <font>
      <b/>
      <sz val="10"/>
      <color rgb="FFFFFFFF"/>
      <name val="Calibri"/>
      <charset val="1"/>
    </font>
    <font>
      <sz val="10"/>
      <color rgb="FF1B1B1B"/>
      <name val="Calibri"/>
      <charset val="1"/>
    </font>
    <font>
      <i/>
      <sz val="9"/>
      <color rgb="FF5A6270"/>
      <name val="Calibri"/>
      <charset val="1"/>
    </font>
    <font>
      <b/>
      <sz val="11"/>
      <color rgb="FFFFFFFF"/>
      <name val="Calibri"/>
      <charset val="1"/>
    </font>
    <font>
      <b/>
      <sz val="9"/>
      <color rgb="FF2E5A88"/>
      <name val="Calibri"/>
      <charset val="1"/>
    </font>
    <font>
      <b/>
      <sz val="15"/>
      <color rgb="FFFFFFFF"/>
      <name val="Calibri"/>
      <charset val="1"/>
    </font>
    <font>
      <sz val="9"/>
      <color rgb="FF1B1B1B"/>
      <name val="Calibri"/>
      <charset val="1"/>
    </font>
    <font>
      <b/>
      <sz val="9"/>
      <color rgb="FFFFFFFF"/>
      <name val="Calibri"/>
      <charset val="1"/>
    </font>
    <font>
      <b/>
      <sz val="14"/>
      <color rgb="FFFFFFFF"/>
      <name val="Calibri"/>
      <charset val="1"/>
    </font>
    <font>
      <b/>
      <sz val="9"/>
      <color rgb="FFB0812E"/>
      <name val="Calibri"/>
      <charset val="1"/>
    </font>
    <font>
      <b/>
      <sz val="12"/>
      <color rgb="FFFFFFFF"/>
      <name val="Calibri"/>
      <charset val="1"/>
    </font>
    <font>
      <b/>
      <sz val="10"/>
      <color rgb="FF1B1B1B"/>
      <name val="Calibri"/>
      <charset val="1"/>
    </font>
    <font>
      <b/>
      <sz val="24"/>
      <color rgb="FFFFFF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1F3A5F"/>
        <bgColor rgb="FF34506E"/>
      </patternFill>
    </fill>
    <fill>
      <patternFill patternType="solid">
        <fgColor rgb="FF2E5A88"/>
        <bgColor rgb="FF34506E"/>
      </patternFill>
    </fill>
    <fill>
      <patternFill patternType="solid">
        <fgColor rgb="FFFFFFFF"/>
        <bgColor rgb="FFF7F9FB"/>
      </patternFill>
    </fill>
    <fill>
      <patternFill patternType="solid">
        <fgColor rgb="FFE9ECF1"/>
        <bgColor rgb="FFE4E7EB"/>
      </patternFill>
    </fill>
    <fill>
      <patternFill patternType="solid">
        <fgColor rgb="FFF7F9FB"/>
        <bgColor rgb="FFF2F4F7"/>
      </patternFill>
    </fill>
    <fill>
      <patternFill patternType="solid">
        <fgColor rgb="FFB0812E"/>
        <bgColor rgb="FF8C6A2A"/>
      </patternFill>
    </fill>
    <fill>
      <patternFill patternType="solid">
        <fgColor rgb="FFF2F4F7"/>
        <bgColor rgb="FFF7F9FB"/>
      </patternFill>
    </fill>
    <fill>
      <patternFill patternType="solid">
        <fgColor rgb="FFF8D7DA"/>
        <bgColor rgb="FFFCE4CC"/>
      </patternFill>
    </fill>
    <fill>
      <patternFill patternType="solid">
        <fgColor rgb="FFFCE4CC"/>
        <bgColor rgb="FFF8D7DA"/>
      </patternFill>
    </fill>
    <fill>
      <patternFill patternType="solid">
        <fgColor rgb="FFD8E2EF"/>
        <bgColor rgb="FFD9DEE6"/>
      </patternFill>
    </fill>
    <fill>
      <patternFill patternType="solid">
        <fgColor rgb="FFE4E7EB"/>
        <bgColor rgb="FFE9ECF1"/>
      </patternFill>
    </fill>
    <fill>
      <patternFill patternType="solid">
        <fgColor theme="3" tint="-0.499984740745262"/>
        <bgColor rgb="FF34506E"/>
      </patternFill>
    </fill>
  </fills>
  <borders count="5">
    <border>
      <left/>
      <right/>
      <top/>
      <bottom/>
      <diagonal/>
    </border>
    <border>
      <left style="thin">
        <color rgb="FFD9DEE6"/>
      </left>
      <right style="thin">
        <color rgb="FFD9DEE6"/>
      </right>
      <top style="thin">
        <color rgb="FFD9DEE6"/>
      </top>
      <bottom style="thin">
        <color rgb="FFD9DEE6"/>
      </bottom>
      <diagonal/>
    </border>
    <border>
      <left/>
      <right/>
      <top/>
      <bottom style="thin">
        <color rgb="FF2E5A88"/>
      </bottom>
      <diagonal/>
    </border>
    <border>
      <left style="thin">
        <color rgb="FFD9DEE6"/>
      </left>
      <right style="thin">
        <color rgb="FFD9DEE6"/>
      </right>
      <top/>
      <bottom/>
      <diagonal/>
    </border>
    <border>
      <left style="thin">
        <color rgb="FFD9DEE6"/>
      </left>
      <right/>
      <top style="thin">
        <color rgb="FFD9DEE6"/>
      </top>
      <bottom style="thin">
        <color rgb="FFD9DEE6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67" fontId="4" fillId="4" borderId="1" xfId="0" applyNumberFormat="1" applyFont="1" applyFill="1" applyBorder="1" applyAlignment="1">
      <alignment horizontal="right" vertical="center"/>
    </xf>
    <xf numFmtId="168" fontId="4" fillId="5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167" fontId="4" fillId="6" borderId="1" xfId="0" applyNumberFormat="1" applyFont="1" applyFill="1" applyBorder="1" applyAlignment="1">
      <alignment horizontal="right" vertical="center"/>
    </xf>
    <xf numFmtId="16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166" fontId="6" fillId="2" borderId="1" xfId="0" applyNumberFormat="1" applyFont="1" applyFill="1" applyBorder="1" applyAlignment="1">
      <alignment horizontal="center" vertical="center"/>
    </xf>
    <xf numFmtId="167" fontId="6" fillId="2" borderId="1" xfId="0" applyNumberFormat="1" applyFont="1" applyFill="1" applyBorder="1" applyAlignment="1">
      <alignment horizontal="right" vertical="center"/>
    </xf>
    <xf numFmtId="168" fontId="6" fillId="2" borderId="1" xfId="0" applyNumberFormat="1" applyFont="1" applyFill="1" applyBorder="1" applyAlignment="1">
      <alignment horizontal="center" vertical="center"/>
    </xf>
    <xf numFmtId="0" fontId="0" fillId="7" borderId="1" xfId="0" applyFill="1" applyBorder="1"/>
    <xf numFmtId="0" fontId="7" fillId="8" borderId="3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9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7" fontId="8" fillId="2" borderId="1" xfId="0" applyNumberFormat="1" applyFont="1" applyFill="1" applyBorder="1" applyAlignment="1">
      <alignment horizontal="center" vertical="center"/>
    </xf>
    <xf numFmtId="168" fontId="8" fillId="2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69" fontId="9" fillId="4" borderId="1" xfId="0" applyNumberFormat="1" applyFont="1" applyFill="1" applyBorder="1" applyAlignment="1">
      <alignment horizontal="center" vertical="center"/>
    </xf>
    <xf numFmtId="167" fontId="9" fillId="4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center" vertical="center"/>
    </xf>
    <xf numFmtId="167" fontId="9" fillId="6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center" vertical="center"/>
    </xf>
    <xf numFmtId="169" fontId="10" fillId="2" borderId="1" xfId="0" applyNumberFormat="1" applyFont="1" applyFill="1" applyBorder="1" applyAlignment="1">
      <alignment horizontal="center" vertical="center"/>
    </xf>
    <xf numFmtId="167" fontId="10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6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3" fillId="13" borderId="1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5" fillId="1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/>
    </xf>
  </cellXfs>
  <cellStyles count="1">
    <cellStyle name="Standard" xfId="0" builtinId="0"/>
  </cellStyles>
  <dxfs count="7">
    <dxf>
      <fill>
        <patternFill>
          <bgColor rgb="FFE4E7EB"/>
        </patternFill>
      </fill>
    </dxf>
    <dxf>
      <fill>
        <patternFill>
          <bgColor rgb="FFFCE4CC"/>
        </patternFill>
      </fill>
    </dxf>
    <dxf>
      <fill>
        <patternFill>
          <bgColor rgb="FFFCE4CC"/>
        </patternFill>
      </fill>
    </dxf>
    <dxf>
      <fill>
        <patternFill>
          <bgColor rgb="FFD8E2EF"/>
        </patternFill>
      </fill>
    </dxf>
    <dxf>
      <fill>
        <patternFill>
          <bgColor rgb="FFFCE4CC"/>
        </patternFill>
      </fill>
    </dxf>
    <dxf>
      <fill>
        <patternFill>
          <bgColor rgb="FFFCE4CC"/>
        </patternFill>
      </fill>
    </dxf>
    <dxf>
      <fill>
        <patternFill>
          <bgColor rgb="FFF8D7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C6A2A"/>
      <rgbColor rgb="FF800080"/>
      <rgbColor rgb="FF008080"/>
      <rgbColor rgb="FFA9B2C0"/>
      <rgbColor rgb="FF878787"/>
      <rgbColor rgb="FF6E9BC5"/>
      <rgbColor rgb="FFB23A48"/>
      <rgbColor rgb="FFF7F9FB"/>
      <rgbColor rgb="FFE9ECF1"/>
      <rgbColor rgb="FF660066"/>
      <rgbColor rgb="FFFF8080"/>
      <rgbColor rgb="FF2E5A8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7"/>
      <rgbColor rgb="FFE4E7EB"/>
      <rgbColor rgb="FFFCE4CC"/>
      <rgbColor rgb="FFD9DEE6"/>
      <rgbColor rgb="FFFF99CC"/>
      <rgbColor rgb="FFD8E2EF"/>
      <rgbColor rgb="FFF8D7DA"/>
      <rgbColor rgb="FF4F81BD"/>
      <rgbColor rgb="FF33CCCC"/>
      <rgbColor rgb="FF99CC00"/>
      <rgbColor rgb="FFFFCC00"/>
      <rgbColor rgb="FFD8A657"/>
      <rgbColor rgb="FFB0812E"/>
      <rgbColor rgb="FF5A6270"/>
      <rgbColor rgb="FF7A8698"/>
      <rgbColor rgb="FF1F3A5F"/>
      <rgbColor rgb="FF4A78A8"/>
      <rgbColor rgb="FF003300"/>
      <rgbColor rgb="FF333300"/>
      <rgbColor rgb="FFA0552D"/>
      <rgbColor rgb="FF993366"/>
      <rgbColor rgb="FF34506E"/>
      <rgbColor rgb="FF1B1B1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Fläche je Geschoss (m²)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Auswertung!$D$10</c:f>
              <c:strCache>
                <c:ptCount val="1"/>
                <c:pt idx="0">
                  <c:v>Fläche</c:v>
                </c:pt>
              </c:strCache>
            </c:strRef>
          </c:tx>
          <c:spPr>
            <a:solidFill>
              <a:srgbClr val="2E5A88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Auswertung!$B$11:$B$17</c:f>
              <c:strCache>
                <c:ptCount val="7"/>
                <c:pt idx="0">
                  <c:v>UG</c:v>
                </c:pt>
                <c:pt idx="1">
                  <c:v>EG</c:v>
                </c:pt>
                <c:pt idx="2">
                  <c:v>1.OG</c:v>
                </c:pt>
                <c:pt idx="3">
                  <c:v>2.OG</c:v>
                </c:pt>
                <c:pt idx="4">
                  <c:v>3.OG</c:v>
                </c:pt>
                <c:pt idx="5">
                  <c:v>DG</c:v>
                </c:pt>
                <c:pt idx="6">
                  <c:v>Staffelgeschoss</c:v>
                </c:pt>
              </c:strCache>
            </c:strRef>
          </c:cat>
          <c:val>
            <c:numRef>
              <c:f>Auswertung!$D$11:$D$17</c:f>
              <c:numCache>
                <c:formatCode>#,##0.0" m²"</c:formatCode>
                <c:ptCount val="7"/>
                <c:pt idx="0">
                  <c:v>96.5</c:v>
                </c:pt>
                <c:pt idx="1">
                  <c:v>136</c:v>
                </c:pt>
                <c:pt idx="2">
                  <c:v>220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5-46AA-96F9-8DA39B994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20764"/>
        <c:axId val="17114963"/>
      </c:barChart>
      <c:catAx>
        <c:axId val="82207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7114963"/>
        <c:crosses val="autoZero"/>
        <c:auto val="1"/>
        <c:lblAlgn val="ctr"/>
        <c:lblOffset val="100"/>
        <c:noMultiLvlLbl val="0"/>
      </c:catAx>
      <c:valAx>
        <c:axId val="17114963"/>
        <c:scaling>
          <c:orientation val="minMax"/>
        </c:scaling>
        <c:delete val="0"/>
        <c:axPos val="l"/>
        <c:numFmt formatCode="#,##0.0&quot; m²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22076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Flächenanteil je Nutzungsart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Auswertung!$C$21</c:f>
              <c:strCache>
                <c:ptCount val="1"/>
                <c:pt idx="0">
                  <c:v>Fläche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F3A5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27-43EB-923F-EC1CC08F896A}"/>
              </c:ext>
            </c:extLst>
          </c:dPt>
          <c:dPt>
            <c:idx val="1"/>
            <c:bubble3D val="0"/>
            <c:spPr>
              <a:solidFill>
                <a:srgbClr val="2E5A8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27-43EB-923F-EC1CC08F896A}"/>
              </c:ext>
            </c:extLst>
          </c:dPt>
          <c:dPt>
            <c:idx val="2"/>
            <c:bubble3D val="0"/>
            <c:spPr>
              <a:solidFill>
                <a:srgbClr val="4A78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27-43EB-923F-EC1CC08F896A}"/>
              </c:ext>
            </c:extLst>
          </c:dPt>
          <c:dPt>
            <c:idx val="3"/>
            <c:bubble3D val="0"/>
            <c:spPr>
              <a:solidFill>
                <a:srgbClr val="6E9BC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27-43EB-923F-EC1CC08F896A}"/>
              </c:ext>
            </c:extLst>
          </c:dPt>
          <c:dPt>
            <c:idx val="4"/>
            <c:bubble3D val="0"/>
            <c:spPr>
              <a:solidFill>
                <a:srgbClr val="B0812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EB27-43EB-923F-EC1CC08F896A}"/>
              </c:ext>
            </c:extLst>
          </c:dPt>
          <c:dPt>
            <c:idx val="5"/>
            <c:bubble3D val="0"/>
            <c:spPr>
              <a:solidFill>
                <a:srgbClr val="8C6A2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EB27-43EB-923F-EC1CC08F896A}"/>
              </c:ext>
            </c:extLst>
          </c:dPt>
          <c:dPt>
            <c:idx val="6"/>
            <c:bubble3D val="0"/>
            <c:spPr>
              <a:solidFill>
                <a:srgbClr val="B23A4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EB27-43EB-923F-EC1CC08F896A}"/>
              </c:ext>
            </c:extLst>
          </c:dPt>
          <c:dPt>
            <c:idx val="7"/>
            <c:bubble3D val="0"/>
            <c:spPr>
              <a:solidFill>
                <a:srgbClr val="7A869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EB27-43EB-923F-EC1CC08F896A}"/>
              </c:ext>
            </c:extLst>
          </c:dPt>
          <c:dPt>
            <c:idx val="8"/>
            <c:bubble3D val="0"/>
            <c:spPr>
              <a:solidFill>
                <a:srgbClr val="A9B2C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EB27-43EB-923F-EC1CC08F896A}"/>
              </c:ext>
            </c:extLst>
          </c:dPt>
          <c:dPt>
            <c:idx val="9"/>
            <c:bubble3D val="0"/>
            <c:spPr>
              <a:solidFill>
                <a:srgbClr val="A0552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EB27-43EB-923F-EC1CC08F896A}"/>
              </c:ext>
            </c:extLst>
          </c:dPt>
          <c:dPt>
            <c:idx val="10"/>
            <c:bubble3D val="0"/>
            <c:spPr>
              <a:solidFill>
                <a:srgbClr val="D8A65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5-EB27-43EB-923F-EC1CC08F896A}"/>
              </c:ext>
            </c:extLst>
          </c:dPt>
          <c:dPt>
            <c:idx val="11"/>
            <c:bubble3D val="0"/>
            <c:spPr>
              <a:solidFill>
                <a:srgbClr val="34506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7-EB27-43EB-923F-EC1CC08F896A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7-43EB-923F-EC1CC08F896A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7-43EB-923F-EC1CC08F896A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7-43EB-923F-EC1CC08F896A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7-43EB-923F-EC1CC08F896A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7-43EB-923F-EC1CC08F896A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7-43EB-923F-EC1CC08F896A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7-43EB-923F-EC1CC08F896A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27-43EB-923F-EC1CC08F896A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7-43EB-923F-EC1CC08F896A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7-43EB-923F-EC1CC08F896A}"/>
                </c:ext>
              </c:extLst>
            </c:dLbl>
            <c:dLbl>
              <c:idx val="1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7-43EB-923F-EC1CC08F896A}"/>
                </c:ext>
              </c:extLst>
            </c:dLbl>
            <c:dLbl>
              <c:idx val="1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7-43EB-923F-EC1CC08F89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Auswertung!$B$22:$B$33</c:f>
              <c:strCache>
                <c:ptCount val="12"/>
                <c:pt idx="0">
                  <c:v>Büro</c:v>
                </c:pt>
                <c:pt idx="1">
                  <c:v>Großraumbüro</c:v>
                </c:pt>
                <c:pt idx="2">
                  <c:v>Besprechung</c:v>
                </c:pt>
                <c:pt idx="3">
                  <c:v>Empfang/Foyer</c:v>
                </c:pt>
                <c:pt idx="4">
                  <c:v>Flur/Verkehr</c:v>
                </c:pt>
                <c:pt idx="5">
                  <c:v>Sanitär/WC</c:v>
                </c:pt>
                <c:pt idx="6">
                  <c:v>Teeküche</c:v>
                </c:pt>
                <c:pt idx="7">
                  <c:v>Sozialraum</c:v>
                </c:pt>
                <c:pt idx="8">
                  <c:v>Lager</c:v>
                </c:pt>
                <c:pt idx="9">
                  <c:v>Archiv</c:v>
                </c:pt>
                <c:pt idx="10">
                  <c:v>Technik</c:v>
                </c:pt>
                <c:pt idx="11">
                  <c:v>Serverraum</c:v>
                </c:pt>
              </c:strCache>
            </c:strRef>
          </c:cat>
          <c:val>
            <c:numRef>
              <c:f>Auswertung!$C$22:$C$33</c:f>
              <c:numCache>
                <c:formatCode>#,##0.0" m²"</c:formatCode>
                <c:ptCount val="12"/>
                <c:pt idx="0">
                  <c:v>40</c:v>
                </c:pt>
                <c:pt idx="1">
                  <c:v>96</c:v>
                </c:pt>
                <c:pt idx="2">
                  <c:v>54</c:v>
                </c:pt>
                <c:pt idx="3">
                  <c:v>28</c:v>
                </c:pt>
                <c:pt idx="4">
                  <c:v>57</c:v>
                </c:pt>
                <c:pt idx="5">
                  <c:v>17</c:v>
                </c:pt>
                <c:pt idx="6">
                  <c:v>12</c:v>
                </c:pt>
                <c:pt idx="7">
                  <c:v>30</c:v>
                </c:pt>
                <c:pt idx="8">
                  <c:v>38</c:v>
                </c:pt>
                <c:pt idx="9">
                  <c:v>34</c:v>
                </c:pt>
                <c:pt idx="10">
                  <c:v>24.5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B27-43EB-923F-EC1CC08F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11</xdr:col>
      <xdr:colOff>740160</xdr:colOff>
      <xdr:row>21</xdr:row>
      <xdr:rowOff>109080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25</xdr:row>
      <xdr:rowOff>0</xdr:rowOff>
    </xdr:from>
    <xdr:to>
      <xdr:col>11</xdr:col>
      <xdr:colOff>740160</xdr:colOff>
      <xdr:row>40</xdr:row>
      <xdr:rowOff>145080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E5A88"/>
    <pageSetUpPr fitToPage="1"/>
  </sheetPr>
  <dimension ref="A1:O39"/>
  <sheetViews>
    <sheetView showGridLines="0"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G28" sqref="G28"/>
    </sheetView>
  </sheetViews>
  <sheetFormatPr baseColWidth="10" defaultColWidth="8.7109375" defaultRowHeight="15" x14ac:dyDescent="0.25"/>
  <cols>
    <col min="1" max="1" width="13" bestFit="1" customWidth="1"/>
    <col min="2" max="2" width="15.140625" bestFit="1" customWidth="1"/>
    <col min="3" max="3" width="19.7109375" bestFit="1" customWidth="1"/>
    <col min="4" max="4" width="17.7109375" bestFit="1" customWidth="1"/>
    <col min="5" max="5" width="10.42578125" bestFit="1" customWidth="1"/>
    <col min="6" max="6" width="14" bestFit="1" customWidth="1"/>
    <col min="7" max="7" width="12.7109375" bestFit="1" customWidth="1"/>
    <col min="8" max="8" width="17.28515625" bestFit="1" customWidth="1"/>
    <col min="9" max="9" width="17.85546875" bestFit="1" customWidth="1"/>
    <col min="10" max="10" width="12.85546875" bestFit="1" customWidth="1"/>
    <col min="11" max="11" width="17" bestFit="1" customWidth="1"/>
    <col min="12" max="12" width="16.28515625" bestFit="1" customWidth="1"/>
    <col min="13" max="13" width="14" bestFit="1" customWidth="1"/>
    <col min="14" max="14" width="13" bestFit="1" customWidth="1"/>
    <col min="15" max="15" width="25.28515625" bestFit="1" customWidth="1"/>
  </cols>
  <sheetData>
    <row r="1" spans="1:15" ht="30" customHeight="1" x14ac:dyDescent="0.25">
      <c r="A1" s="54" t="s">
        <v>169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5.75" customHeigh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4" spans="1:15" x14ac:dyDescent="0.25">
      <c r="A4" s="49" t="s">
        <v>1</v>
      </c>
      <c r="C4" s="51" t="s">
        <v>2</v>
      </c>
      <c r="D4" s="51"/>
      <c r="E4" s="51"/>
      <c r="F4" s="51"/>
      <c r="G4" s="51"/>
      <c r="H4" s="51"/>
      <c r="I4" s="49" t="s">
        <v>3</v>
      </c>
      <c r="K4" s="51" t="s">
        <v>4</v>
      </c>
      <c r="L4" s="51"/>
      <c r="M4" s="51"/>
      <c r="N4" s="51"/>
      <c r="O4" s="51"/>
    </row>
    <row r="5" spans="1:15" x14ac:dyDescent="0.25">
      <c r="A5" s="49" t="s">
        <v>5</v>
      </c>
      <c r="C5" s="51" t="s">
        <v>6</v>
      </c>
      <c r="D5" s="51"/>
      <c r="E5" s="51"/>
      <c r="F5" s="51"/>
      <c r="G5" s="51"/>
      <c r="H5" s="51"/>
      <c r="I5" s="49" t="s">
        <v>7</v>
      </c>
      <c r="K5" s="51" t="s">
        <v>8</v>
      </c>
      <c r="L5" s="51"/>
      <c r="M5" s="51"/>
      <c r="N5" s="51"/>
      <c r="O5" s="51"/>
    </row>
    <row r="6" spans="1:15" x14ac:dyDescent="0.25">
      <c r="A6" s="49" t="s">
        <v>9</v>
      </c>
      <c r="C6" s="51" t="s">
        <v>10</v>
      </c>
      <c r="D6" s="51"/>
      <c r="E6" s="51"/>
      <c r="F6" s="51"/>
      <c r="G6" s="51"/>
      <c r="H6" s="51"/>
      <c r="I6" s="49" t="s">
        <v>11</v>
      </c>
      <c r="K6" s="51" t="s">
        <v>12</v>
      </c>
      <c r="L6" s="51"/>
      <c r="M6" s="51"/>
      <c r="N6" s="51"/>
      <c r="O6" s="51"/>
    </row>
    <row r="7" spans="1:15" ht="15.75" customHeight="1" x14ac:dyDescent="0.25">
      <c r="A7" s="52" t="s">
        <v>13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ht="30" customHeight="1" x14ac:dyDescent="0.25">
      <c r="A8" s="50" t="s">
        <v>14</v>
      </c>
      <c r="B8" s="50" t="s">
        <v>15</v>
      </c>
      <c r="C8" s="50" t="s">
        <v>16</v>
      </c>
      <c r="D8" s="50" t="s">
        <v>17</v>
      </c>
      <c r="E8" s="50" t="s">
        <v>18</v>
      </c>
      <c r="F8" s="50" t="s">
        <v>19</v>
      </c>
      <c r="G8" s="50" t="s">
        <v>20</v>
      </c>
      <c r="H8" s="50" t="s">
        <v>21</v>
      </c>
      <c r="I8" s="50" t="s">
        <v>22</v>
      </c>
      <c r="J8" s="50" t="s">
        <v>23</v>
      </c>
      <c r="K8" s="50" t="s">
        <v>24</v>
      </c>
      <c r="L8" s="50" t="s">
        <v>25</v>
      </c>
      <c r="M8" s="50" t="s">
        <v>26</v>
      </c>
      <c r="N8" s="50" t="s">
        <v>27</v>
      </c>
      <c r="O8" s="50" t="s">
        <v>28</v>
      </c>
    </row>
    <row r="9" spans="1:15" ht="25.5" customHeight="1" x14ac:dyDescent="0.25">
      <c r="A9" s="2" t="s">
        <v>29</v>
      </c>
      <c r="B9" s="2" t="s">
        <v>30</v>
      </c>
      <c r="C9" s="3" t="s">
        <v>31</v>
      </c>
      <c r="D9" s="3" t="s">
        <v>32</v>
      </c>
      <c r="E9" s="4">
        <v>24.5</v>
      </c>
      <c r="F9" s="5">
        <v>3.2</v>
      </c>
      <c r="G9" s="6">
        <f t="shared" ref="G9:G23" si="0">IF(AND(E9&gt;0,F9&gt;0),E9*F9,"")</f>
        <v>78.400000000000006</v>
      </c>
      <c r="H9" s="3" t="s">
        <v>33</v>
      </c>
      <c r="I9" s="3" t="s">
        <v>34</v>
      </c>
      <c r="J9" s="3" t="s">
        <v>34</v>
      </c>
      <c r="K9" s="7" t="s">
        <v>35</v>
      </c>
      <c r="L9" s="8">
        <v>18500</v>
      </c>
      <c r="M9" s="9">
        <f t="shared" ref="M9:M23" si="1">IF(AND(E9&gt;0,L9&gt;0),L9/E9,"")</f>
        <v>755.10204081632651</v>
      </c>
      <c r="N9" s="3" t="s">
        <v>36</v>
      </c>
      <c r="O9" s="3" t="s">
        <v>37</v>
      </c>
    </row>
    <row r="10" spans="1:15" ht="25.5" customHeight="1" x14ac:dyDescent="0.25">
      <c r="A10" s="10" t="s">
        <v>38</v>
      </c>
      <c r="B10" s="10" t="s">
        <v>30</v>
      </c>
      <c r="C10" s="11" t="s">
        <v>39</v>
      </c>
      <c r="D10" s="11" t="s">
        <v>40</v>
      </c>
      <c r="E10" s="12">
        <v>38</v>
      </c>
      <c r="F10" s="13">
        <v>3</v>
      </c>
      <c r="G10" s="6">
        <f t="shared" si="0"/>
        <v>114</v>
      </c>
      <c r="H10" s="11" t="s">
        <v>33</v>
      </c>
      <c r="I10" s="11" t="s">
        <v>41</v>
      </c>
      <c r="J10" s="11" t="s">
        <v>34</v>
      </c>
      <c r="K10" s="14" t="s">
        <v>42</v>
      </c>
      <c r="L10" s="15">
        <v>4200</v>
      </c>
      <c r="M10" s="9">
        <f t="shared" si="1"/>
        <v>110.52631578947368</v>
      </c>
      <c r="N10" s="11" t="s">
        <v>43</v>
      </c>
      <c r="O10" s="11" t="s">
        <v>44</v>
      </c>
    </row>
    <row r="11" spans="1:15" ht="25.5" customHeight="1" x14ac:dyDescent="0.25">
      <c r="A11" s="2" t="s">
        <v>45</v>
      </c>
      <c r="B11" s="2" t="s">
        <v>30</v>
      </c>
      <c r="C11" s="3" t="s">
        <v>46</v>
      </c>
      <c r="D11" s="3" t="s">
        <v>47</v>
      </c>
      <c r="E11" s="4">
        <v>34</v>
      </c>
      <c r="F11" s="5">
        <v>3</v>
      </c>
      <c r="G11" s="6">
        <f t="shared" si="0"/>
        <v>102</v>
      </c>
      <c r="H11" s="3" t="s">
        <v>48</v>
      </c>
      <c r="I11" s="3" t="s">
        <v>41</v>
      </c>
      <c r="J11" s="3" t="s">
        <v>49</v>
      </c>
      <c r="K11" s="7" t="s">
        <v>42</v>
      </c>
      <c r="L11" s="8">
        <v>6800</v>
      </c>
      <c r="M11" s="9">
        <f t="shared" si="1"/>
        <v>200</v>
      </c>
      <c r="N11" s="3" t="s">
        <v>43</v>
      </c>
      <c r="O11" s="3" t="s">
        <v>50</v>
      </c>
    </row>
    <row r="12" spans="1:15" ht="25.5" customHeight="1" x14ac:dyDescent="0.25">
      <c r="A12" s="10" t="s">
        <v>51</v>
      </c>
      <c r="B12" s="10" t="s">
        <v>52</v>
      </c>
      <c r="C12" s="11" t="s">
        <v>53</v>
      </c>
      <c r="D12" s="11" t="s">
        <v>54</v>
      </c>
      <c r="E12" s="12">
        <v>28</v>
      </c>
      <c r="F12" s="13">
        <v>3.2</v>
      </c>
      <c r="G12" s="6">
        <f t="shared" si="0"/>
        <v>89.600000000000009</v>
      </c>
      <c r="H12" s="11" t="s">
        <v>55</v>
      </c>
      <c r="I12" s="11" t="s">
        <v>56</v>
      </c>
      <c r="J12" s="11" t="s">
        <v>57</v>
      </c>
      <c r="K12" s="14" t="s">
        <v>58</v>
      </c>
      <c r="L12" s="15">
        <v>21000</v>
      </c>
      <c r="M12" s="9">
        <f t="shared" si="1"/>
        <v>750</v>
      </c>
      <c r="N12" s="11" t="s">
        <v>59</v>
      </c>
      <c r="O12" s="11" t="s">
        <v>60</v>
      </c>
    </row>
    <row r="13" spans="1:15" ht="25.5" customHeight="1" x14ac:dyDescent="0.25">
      <c r="A13" s="2" t="s">
        <v>61</v>
      </c>
      <c r="B13" s="2" t="s">
        <v>52</v>
      </c>
      <c r="C13" s="3" t="s">
        <v>62</v>
      </c>
      <c r="D13" s="3" t="s">
        <v>63</v>
      </c>
      <c r="E13" s="4">
        <v>22</v>
      </c>
      <c r="F13" s="5">
        <v>3</v>
      </c>
      <c r="G13" s="6">
        <f t="shared" si="0"/>
        <v>66</v>
      </c>
      <c r="H13" s="3" t="s">
        <v>64</v>
      </c>
      <c r="I13" s="3" t="s">
        <v>65</v>
      </c>
      <c r="J13" s="3" t="s">
        <v>57</v>
      </c>
      <c r="K13" s="7" t="s">
        <v>42</v>
      </c>
      <c r="L13" s="8">
        <v>12500</v>
      </c>
      <c r="M13" s="9">
        <f t="shared" si="1"/>
        <v>568.18181818181813</v>
      </c>
      <c r="N13" s="3" t="s">
        <v>43</v>
      </c>
      <c r="O13" s="3" t="s">
        <v>66</v>
      </c>
    </row>
    <row r="14" spans="1:15" ht="25.5" customHeight="1" x14ac:dyDescent="0.25">
      <c r="A14" s="10" t="s">
        <v>67</v>
      </c>
      <c r="B14" s="10" t="s">
        <v>52</v>
      </c>
      <c r="C14" s="11" t="s">
        <v>68</v>
      </c>
      <c r="D14" s="11" t="s">
        <v>69</v>
      </c>
      <c r="E14" s="12">
        <v>12</v>
      </c>
      <c r="F14" s="13">
        <v>3</v>
      </c>
      <c r="G14" s="6">
        <f t="shared" si="0"/>
        <v>36</v>
      </c>
      <c r="H14" s="11" t="s">
        <v>55</v>
      </c>
      <c r="I14" s="11" t="s">
        <v>70</v>
      </c>
      <c r="J14" s="11" t="s">
        <v>71</v>
      </c>
      <c r="K14" s="14" t="s">
        <v>35</v>
      </c>
      <c r="L14" s="15">
        <v>9800</v>
      </c>
      <c r="M14" s="9">
        <f t="shared" si="1"/>
        <v>816.66666666666663</v>
      </c>
      <c r="N14" s="11" t="s">
        <v>72</v>
      </c>
      <c r="O14" s="11" t="s">
        <v>73</v>
      </c>
    </row>
    <row r="15" spans="1:15" ht="25.5" customHeight="1" x14ac:dyDescent="0.25">
      <c r="A15" s="2" t="s">
        <v>74</v>
      </c>
      <c r="B15" s="2" t="s">
        <v>52</v>
      </c>
      <c r="C15" s="3" t="s">
        <v>75</v>
      </c>
      <c r="D15" s="3" t="s">
        <v>76</v>
      </c>
      <c r="E15" s="4">
        <v>8.5</v>
      </c>
      <c r="F15" s="5">
        <v>3</v>
      </c>
      <c r="G15" s="6">
        <f t="shared" si="0"/>
        <v>25.5</v>
      </c>
      <c r="H15" s="3" t="s">
        <v>77</v>
      </c>
      <c r="I15" s="3" t="s">
        <v>70</v>
      </c>
      <c r="J15" s="3" t="s">
        <v>71</v>
      </c>
      <c r="K15" s="7" t="s">
        <v>35</v>
      </c>
      <c r="L15" s="8">
        <v>5400</v>
      </c>
      <c r="M15" s="9">
        <f t="shared" si="1"/>
        <v>635.29411764705878</v>
      </c>
      <c r="N15" s="3" t="s">
        <v>72</v>
      </c>
      <c r="O15" s="3" t="s">
        <v>78</v>
      </c>
    </row>
    <row r="16" spans="1:15" ht="25.5" customHeight="1" x14ac:dyDescent="0.25">
      <c r="A16" s="10" t="s">
        <v>79</v>
      </c>
      <c r="B16" s="10" t="s">
        <v>52</v>
      </c>
      <c r="C16" s="11" t="s">
        <v>80</v>
      </c>
      <c r="D16" s="11" t="s">
        <v>76</v>
      </c>
      <c r="E16" s="12">
        <v>8.5</v>
      </c>
      <c r="F16" s="13">
        <v>3</v>
      </c>
      <c r="G16" s="6">
        <f t="shared" si="0"/>
        <v>25.5</v>
      </c>
      <c r="H16" s="11" t="s">
        <v>77</v>
      </c>
      <c r="I16" s="11" t="s">
        <v>70</v>
      </c>
      <c r="J16" s="11" t="s">
        <v>71</v>
      </c>
      <c r="K16" s="14" t="s">
        <v>35</v>
      </c>
      <c r="L16" s="15">
        <v>5400</v>
      </c>
      <c r="M16" s="9">
        <f t="shared" si="1"/>
        <v>635.29411764705878</v>
      </c>
      <c r="N16" s="11" t="s">
        <v>59</v>
      </c>
      <c r="O16" s="11"/>
    </row>
    <row r="17" spans="1:15" ht="25.5" customHeight="1" x14ac:dyDescent="0.25">
      <c r="A17" s="2" t="s">
        <v>81</v>
      </c>
      <c r="B17" s="2" t="s">
        <v>52</v>
      </c>
      <c r="C17" s="3" t="s">
        <v>82</v>
      </c>
      <c r="D17" s="3" t="s">
        <v>83</v>
      </c>
      <c r="E17" s="4">
        <v>57</v>
      </c>
      <c r="F17" s="5">
        <v>3.2</v>
      </c>
      <c r="G17" s="6">
        <f t="shared" si="0"/>
        <v>182.4</v>
      </c>
      <c r="H17" s="3" t="s">
        <v>55</v>
      </c>
      <c r="I17" s="3" t="s">
        <v>41</v>
      </c>
      <c r="J17" s="3" t="s">
        <v>49</v>
      </c>
      <c r="K17" s="7" t="s">
        <v>84</v>
      </c>
      <c r="L17" s="8">
        <v>8600</v>
      </c>
      <c r="M17" s="9">
        <f t="shared" si="1"/>
        <v>150.87719298245614</v>
      </c>
      <c r="N17" s="3" t="s">
        <v>43</v>
      </c>
      <c r="O17" s="3" t="s">
        <v>85</v>
      </c>
    </row>
    <row r="18" spans="1:15" ht="25.5" customHeight="1" x14ac:dyDescent="0.25">
      <c r="A18" s="10" t="s">
        <v>86</v>
      </c>
      <c r="B18" s="10" t="s">
        <v>87</v>
      </c>
      <c r="C18" s="11" t="s">
        <v>88</v>
      </c>
      <c r="D18" s="11" t="s">
        <v>89</v>
      </c>
      <c r="E18" s="12">
        <v>96</v>
      </c>
      <c r="F18" s="13">
        <v>3</v>
      </c>
      <c r="G18" s="6">
        <f t="shared" si="0"/>
        <v>288</v>
      </c>
      <c r="H18" s="11" t="s">
        <v>64</v>
      </c>
      <c r="I18" s="11" t="s">
        <v>65</v>
      </c>
      <c r="J18" s="11" t="s">
        <v>49</v>
      </c>
      <c r="K18" s="14" t="s">
        <v>42</v>
      </c>
      <c r="L18" s="15">
        <v>34000</v>
      </c>
      <c r="M18" s="9">
        <f t="shared" si="1"/>
        <v>354.16666666666669</v>
      </c>
      <c r="N18" s="11" t="s">
        <v>59</v>
      </c>
      <c r="O18" s="11" t="s">
        <v>90</v>
      </c>
    </row>
    <row r="19" spans="1:15" ht="25.5" customHeight="1" x14ac:dyDescent="0.25">
      <c r="A19" s="2" t="s">
        <v>91</v>
      </c>
      <c r="B19" s="2" t="s">
        <v>87</v>
      </c>
      <c r="C19" s="3" t="s">
        <v>92</v>
      </c>
      <c r="D19" s="3" t="s">
        <v>93</v>
      </c>
      <c r="E19" s="4">
        <v>20</v>
      </c>
      <c r="F19" s="5">
        <v>2.9</v>
      </c>
      <c r="G19" s="6">
        <f t="shared" si="0"/>
        <v>58</v>
      </c>
      <c r="H19" s="3" t="s">
        <v>64</v>
      </c>
      <c r="I19" s="3" t="s">
        <v>41</v>
      </c>
      <c r="J19" s="3" t="s">
        <v>49</v>
      </c>
      <c r="K19" s="7" t="s">
        <v>42</v>
      </c>
      <c r="L19" s="8">
        <v>7200</v>
      </c>
      <c r="M19" s="9">
        <f t="shared" si="1"/>
        <v>360</v>
      </c>
      <c r="N19" s="3" t="s">
        <v>43</v>
      </c>
      <c r="O19" s="3"/>
    </row>
    <row r="20" spans="1:15" ht="25.5" customHeight="1" x14ac:dyDescent="0.25">
      <c r="A20" s="10" t="s">
        <v>94</v>
      </c>
      <c r="B20" s="10" t="s">
        <v>87</v>
      </c>
      <c r="C20" s="11" t="s">
        <v>95</v>
      </c>
      <c r="D20" s="11" t="s">
        <v>93</v>
      </c>
      <c r="E20" s="12">
        <v>20</v>
      </c>
      <c r="F20" s="13">
        <v>2.9</v>
      </c>
      <c r="G20" s="6">
        <f t="shared" si="0"/>
        <v>58</v>
      </c>
      <c r="H20" s="11" t="s">
        <v>64</v>
      </c>
      <c r="I20" s="11" t="s">
        <v>41</v>
      </c>
      <c r="J20" s="11" t="s">
        <v>49</v>
      </c>
      <c r="K20" s="14" t="s">
        <v>42</v>
      </c>
      <c r="L20" s="15">
        <v>7200</v>
      </c>
      <c r="M20" s="9">
        <f t="shared" si="1"/>
        <v>360</v>
      </c>
      <c r="N20" s="11" t="s">
        <v>43</v>
      </c>
      <c r="O20" s="11"/>
    </row>
    <row r="21" spans="1:15" ht="25.5" customHeight="1" x14ac:dyDescent="0.25">
      <c r="A21" s="2" t="s">
        <v>96</v>
      </c>
      <c r="B21" s="2" t="s">
        <v>87</v>
      </c>
      <c r="C21" s="3" t="s">
        <v>97</v>
      </c>
      <c r="D21" s="3" t="s">
        <v>63</v>
      </c>
      <c r="E21" s="4">
        <v>32</v>
      </c>
      <c r="F21" s="5">
        <v>3</v>
      </c>
      <c r="G21" s="6">
        <f t="shared" si="0"/>
        <v>96</v>
      </c>
      <c r="H21" s="3" t="s">
        <v>98</v>
      </c>
      <c r="I21" s="3" t="s">
        <v>99</v>
      </c>
      <c r="J21" s="3" t="s">
        <v>57</v>
      </c>
      <c r="K21" s="7" t="s">
        <v>100</v>
      </c>
      <c r="L21" s="8">
        <v>14500</v>
      </c>
      <c r="M21" s="9">
        <f t="shared" si="1"/>
        <v>453.125</v>
      </c>
      <c r="N21" s="3" t="s">
        <v>43</v>
      </c>
      <c r="O21" s="3" t="s">
        <v>101</v>
      </c>
    </row>
    <row r="22" spans="1:15" ht="25.5" customHeight="1" x14ac:dyDescent="0.25">
      <c r="A22" s="10" t="s">
        <v>102</v>
      </c>
      <c r="B22" s="10" t="s">
        <v>87</v>
      </c>
      <c r="C22" s="11" t="s">
        <v>103</v>
      </c>
      <c r="D22" s="11" t="s">
        <v>103</v>
      </c>
      <c r="E22" s="12">
        <v>22</v>
      </c>
      <c r="F22" s="13">
        <v>3</v>
      </c>
      <c r="G22" s="6">
        <f t="shared" si="0"/>
        <v>66</v>
      </c>
      <c r="H22" s="11" t="s">
        <v>104</v>
      </c>
      <c r="I22" s="11" t="s">
        <v>34</v>
      </c>
      <c r="J22" s="11" t="s">
        <v>105</v>
      </c>
      <c r="K22" s="14" t="s">
        <v>106</v>
      </c>
      <c r="L22" s="15">
        <v>12900</v>
      </c>
      <c r="M22" s="9">
        <f t="shared" si="1"/>
        <v>586.36363636363637</v>
      </c>
      <c r="N22" s="11" t="s">
        <v>36</v>
      </c>
      <c r="O22" s="11" t="s">
        <v>107</v>
      </c>
    </row>
    <row r="23" spans="1:15" ht="25.5" customHeight="1" x14ac:dyDescent="0.25">
      <c r="A23" s="2" t="s">
        <v>108</v>
      </c>
      <c r="B23" s="2" t="s">
        <v>87</v>
      </c>
      <c r="C23" s="3" t="s">
        <v>109</v>
      </c>
      <c r="D23" s="3" t="s">
        <v>110</v>
      </c>
      <c r="E23" s="4">
        <v>30</v>
      </c>
      <c r="F23" s="5">
        <v>2.9</v>
      </c>
      <c r="G23" s="6">
        <f t="shared" si="0"/>
        <v>87</v>
      </c>
      <c r="H23" s="3" t="s">
        <v>111</v>
      </c>
      <c r="I23" s="3" t="s">
        <v>112</v>
      </c>
      <c r="J23" s="3" t="s">
        <v>71</v>
      </c>
      <c r="K23" s="7" t="s">
        <v>113</v>
      </c>
      <c r="L23" s="8">
        <v>4400</v>
      </c>
      <c r="M23" s="9">
        <f t="shared" si="1"/>
        <v>146.66666666666666</v>
      </c>
      <c r="N23" s="3" t="s">
        <v>43</v>
      </c>
      <c r="O23" s="3" t="s">
        <v>114</v>
      </c>
    </row>
    <row r="24" spans="1:15" ht="25.5" customHeight="1" x14ac:dyDescent="0.25">
      <c r="A24" s="10"/>
      <c r="B24" s="10"/>
      <c r="C24" s="11"/>
      <c r="D24" s="11"/>
      <c r="E24" s="12"/>
      <c r="F24" s="13"/>
      <c r="G24" s="6"/>
      <c r="H24" s="11"/>
      <c r="I24" s="11"/>
      <c r="J24" s="11"/>
      <c r="K24" s="14"/>
      <c r="L24" s="15"/>
      <c r="M24" s="9"/>
      <c r="N24" s="11"/>
      <c r="O24" s="11"/>
    </row>
    <row r="25" spans="1:15" ht="25.5" customHeight="1" x14ac:dyDescent="0.25">
      <c r="A25" s="2"/>
      <c r="B25" s="2"/>
      <c r="C25" s="3"/>
      <c r="D25" s="3"/>
      <c r="E25" s="4"/>
      <c r="F25" s="5"/>
      <c r="G25" s="6"/>
      <c r="H25" s="3"/>
      <c r="I25" s="3"/>
      <c r="J25" s="3"/>
      <c r="K25" s="7"/>
      <c r="L25" s="8"/>
      <c r="M25" s="9"/>
      <c r="N25" s="3"/>
      <c r="O25" s="3"/>
    </row>
    <row r="26" spans="1:15" ht="25.5" customHeight="1" x14ac:dyDescent="0.25">
      <c r="A26" s="10"/>
      <c r="B26" s="10"/>
      <c r="C26" s="11"/>
      <c r="D26" s="11"/>
      <c r="E26" s="12"/>
      <c r="F26" s="13"/>
      <c r="G26" s="6"/>
      <c r="H26" s="11"/>
      <c r="I26" s="11"/>
      <c r="J26" s="11"/>
      <c r="K26" s="14"/>
      <c r="L26" s="15"/>
      <c r="M26" s="9"/>
      <c r="N26" s="11"/>
      <c r="O26" s="11"/>
    </row>
    <row r="27" spans="1:15" ht="25.5" customHeight="1" x14ac:dyDescent="0.25">
      <c r="A27" s="2"/>
      <c r="B27" s="2"/>
      <c r="C27" s="3"/>
      <c r="D27" s="3"/>
      <c r="E27" s="4"/>
      <c r="F27" s="5"/>
      <c r="G27" s="6"/>
      <c r="H27" s="3"/>
      <c r="I27" s="3"/>
      <c r="J27" s="3"/>
      <c r="K27" s="7"/>
      <c r="L27" s="8"/>
      <c r="M27" s="9"/>
      <c r="N27" s="3"/>
      <c r="O27" s="3"/>
    </row>
    <row r="28" spans="1:15" ht="25.5" customHeight="1" x14ac:dyDescent="0.25">
      <c r="A28" s="10"/>
      <c r="B28" s="10"/>
      <c r="C28" s="11"/>
      <c r="D28" s="11"/>
      <c r="E28" s="12"/>
      <c r="F28" s="13"/>
      <c r="G28" s="6"/>
      <c r="H28" s="11"/>
      <c r="I28" s="11"/>
      <c r="J28" s="11"/>
      <c r="K28" s="14"/>
      <c r="L28" s="15"/>
      <c r="M28" s="9"/>
      <c r="N28" s="11"/>
      <c r="O28" s="11"/>
    </row>
    <row r="29" spans="1:15" ht="25.5" customHeight="1" x14ac:dyDescent="0.25">
      <c r="A29" s="2"/>
      <c r="B29" s="2"/>
      <c r="C29" s="3"/>
      <c r="D29" s="3"/>
      <c r="E29" s="4"/>
      <c r="F29" s="5"/>
      <c r="G29" s="6"/>
      <c r="H29" s="3"/>
      <c r="I29" s="3"/>
      <c r="J29" s="3"/>
      <c r="K29" s="7"/>
      <c r="L29" s="8"/>
      <c r="M29" s="9"/>
      <c r="N29" s="3"/>
      <c r="O29" s="3"/>
    </row>
    <row r="30" spans="1:15" ht="25.5" customHeight="1" x14ac:dyDescent="0.25">
      <c r="A30" s="10"/>
      <c r="B30" s="10"/>
      <c r="C30" s="11"/>
      <c r="D30" s="11"/>
      <c r="E30" s="12"/>
      <c r="F30" s="13"/>
      <c r="G30" s="6"/>
      <c r="H30" s="11"/>
      <c r="I30" s="11"/>
      <c r="J30" s="11"/>
      <c r="K30" s="14"/>
      <c r="L30" s="15"/>
      <c r="M30" s="9"/>
      <c r="N30" s="11"/>
      <c r="O30" s="11"/>
    </row>
    <row r="31" spans="1:15" ht="25.5" customHeight="1" x14ac:dyDescent="0.25">
      <c r="A31" s="2"/>
      <c r="B31" s="2"/>
      <c r="C31" s="3"/>
      <c r="D31" s="3"/>
      <c r="E31" s="4"/>
      <c r="F31" s="5"/>
      <c r="G31" s="6"/>
      <c r="H31" s="3"/>
      <c r="I31" s="3"/>
      <c r="J31" s="3"/>
      <c r="K31" s="7"/>
      <c r="L31" s="8"/>
      <c r="M31" s="9"/>
      <c r="N31" s="3"/>
      <c r="O31" s="3"/>
    </row>
    <row r="32" spans="1:15" ht="25.5" customHeight="1" x14ac:dyDescent="0.25">
      <c r="A32" s="10"/>
      <c r="B32" s="10"/>
      <c r="C32" s="11"/>
      <c r="D32" s="11"/>
      <c r="E32" s="12"/>
      <c r="F32" s="13"/>
      <c r="G32" s="6"/>
      <c r="H32" s="11"/>
      <c r="I32" s="11"/>
      <c r="J32" s="11"/>
      <c r="K32" s="14"/>
      <c r="L32" s="15"/>
      <c r="M32" s="9"/>
      <c r="N32" s="11"/>
      <c r="O32" s="11"/>
    </row>
    <row r="33" spans="1:15" ht="25.5" customHeight="1" x14ac:dyDescent="0.25">
      <c r="A33" s="2"/>
      <c r="B33" s="2"/>
      <c r="C33" s="3"/>
      <c r="D33" s="3"/>
      <c r="E33" s="4"/>
      <c r="F33" s="5"/>
      <c r="G33" s="6"/>
      <c r="H33" s="3"/>
      <c r="I33" s="3"/>
      <c r="J33" s="3"/>
      <c r="K33" s="7"/>
      <c r="L33" s="8"/>
      <c r="M33" s="9"/>
      <c r="N33" s="3"/>
      <c r="O33" s="3"/>
    </row>
    <row r="34" spans="1:15" ht="25.5" customHeight="1" x14ac:dyDescent="0.25">
      <c r="A34" s="10"/>
      <c r="B34" s="10"/>
      <c r="C34" s="11"/>
      <c r="D34" s="11"/>
      <c r="E34" s="12"/>
      <c r="F34" s="13"/>
      <c r="G34" s="6"/>
      <c r="H34" s="11"/>
      <c r="I34" s="11"/>
      <c r="J34" s="11"/>
      <c r="K34" s="14"/>
      <c r="L34" s="15"/>
      <c r="M34" s="9"/>
      <c r="N34" s="11"/>
      <c r="O34" s="11"/>
    </row>
    <row r="35" spans="1:15" ht="25.5" customHeight="1" x14ac:dyDescent="0.25">
      <c r="A35" s="2"/>
      <c r="B35" s="2"/>
      <c r="C35" s="3"/>
      <c r="D35" s="3"/>
      <c r="E35" s="4"/>
      <c r="F35" s="5"/>
      <c r="G35" s="6"/>
      <c r="H35" s="3"/>
      <c r="I35" s="3"/>
      <c r="J35" s="3"/>
      <c r="K35" s="7"/>
      <c r="L35" s="8"/>
      <c r="M35" s="9"/>
      <c r="N35" s="3"/>
      <c r="O35" s="3"/>
    </row>
    <row r="36" spans="1:15" ht="25.5" customHeight="1" x14ac:dyDescent="0.25">
      <c r="A36" s="10"/>
      <c r="B36" s="10"/>
      <c r="C36" s="11"/>
      <c r="D36" s="11"/>
      <c r="E36" s="12"/>
      <c r="F36" s="13"/>
      <c r="G36" s="6"/>
      <c r="H36" s="11"/>
      <c r="I36" s="11"/>
      <c r="J36" s="11"/>
      <c r="K36" s="14"/>
      <c r="L36" s="15"/>
      <c r="M36" s="9"/>
      <c r="N36" s="11"/>
      <c r="O36" s="11"/>
    </row>
    <row r="37" spans="1:15" ht="25.5" customHeight="1" x14ac:dyDescent="0.25">
      <c r="A37" s="2"/>
      <c r="B37" s="2"/>
      <c r="C37" s="3"/>
      <c r="D37" s="3"/>
      <c r="E37" s="4"/>
      <c r="F37" s="5"/>
      <c r="G37" s="6"/>
      <c r="H37" s="3"/>
      <c r="I37" s="3"/>
      <c r="J37" s="3"/>
      <c r="K37" s="7"/>
      <c r="L37" s="8"/>
      <c r="M37" s="9"/>
      <c r="N37" s="3"/>
      <c r="O37" s="3"/>
    </row>
    <row r="38" spans="1:15" ht="25.5" customHeight="1" x14ac:dyDescent="0.25">
      <c r="A38" s="10"/>
      <c r="B38" s="10"/>
      <c r="C38" s="11"/>
      <c r="D38" s="11"/>
      <c r="E38" s="12"/>
      <c r="F38" s="13"/>
      <c r="G38" s="6"/>
      <c r="H38" s="11"/>
      <c r="I38" s="11"/>
      <c r="J38" s="11"/>
      <c r="K38" s="14"/>
      <c r="L38" s="15"/>
      <c r="M38" s="9"/>
      <c r="N38" s="11"/>
      <c r="O38" s="11"/>
    </row>
    <row r="39" spans="1:15" ht="21.75" customHeight="1" x14ac:dyDescent="0.25">
      <c r="A39" s="53" t="s">
        <v>115</v>
      </c>
      <c r="B39" s="53"/>
      <c r="C39" s="53"/>
      <c r="D39" s="53"/>
      <c r="E39" s="16">
        <f>SUM(E9:E38)</f>
        <v>452.5</v>
      </c>
      <c r="F39" s="17"/>
      <c r="G39" s="18">
        <f>SUM(G9:G38)</f>
        <v>1372.4</v>
      </c>
      <c r="H39" s="17"/>
      <c r="I39" s="17"/>
      <c r="J39" s="17"/>
      <c r="K39" s="17"/>
      <c r="L39" s="19">
        <f>SUM(L9:L38)</f>
        <v>172400</v>
      </c>
      <c r="M39" s="20">
        <f>IFERROR(L39/E39,0)</f>
        <v>380.99447513812157</v>
      </c>
      <c r="N39" s="17"/>
      <c r="O39" s="17"/>
    </row>
  </sheetData>
  <autoFilter ref="A8:O38" xr:uid="{00000000-0009-0000-0000-000000000000}"/>
  <mergeCells count="10">
    <mergeCell ref="C6:H6"/>
    <mergeCell ref="K6:O6"/>
    <mergeCell ref="A7:O7"/>
    <mergeCell ref="A39:D39"/>
    <mergeCell ref="A1:O1"/>
    <mergeCell ref="A2:O2"/>
    <mergeCell ref="C4:H4"/>
    <mergeCell ref="K4:O4"/>
    <mergeCell ref="C5:H5"/>
    <mergeCell ref="K5:O5"/>
  </mergeCells>
  <conditionalFormatting sqref="A9:E38">
    <cfRule type="expression" dxfId="6" priority="2">
      <formula>AND(OR($A9&lt;&gt;"",$C9&lt;&gt;""),A9="")</formula>
    </cfRule>
  </conditionalFormatting>
  <conditionalFormatting sqref="E9:E38">
    <cfRule type="expression" dxfId="5" priority="7">
      <formula>AND($E9&lt;&gt;"",$E9&lt;=0)</formula>
    </cfRule>
    <cfRule type="dataBar" priority="8">
      <dataBar>
        <cfvo type="min"/>
        <cfvo type="max"/>
        <color rgb="FF2E5A88"/>
      </dataBar>
      <extLst>
        <ext xmlns:x14="http://schemas.microsoft.com/office/spreadsheetml/2009/9/main" uri="{B025F937-C7B1-47D3-B67F-A62EFF666E3E}">
          <x14:id>{4BE93440-F4BB-41B7-BAD7-E790D76D4FE0}</x14:id>
        </ext>
      </extLst>
    </cfRule>
  </conditionalFormatting>
  <conditionalFormatting sqref="F9:F38">
    <cfRule type="expression" dxfId="4" priority="9">
      <formula>AND($F9&lt;&gt;"",OR($F9&lt;2,$F9&gt;6))</formula>
    </cfRule>
  </conditionalFormatting>
  <conditionalFormatting sqref="L9:L38">
    <cfRule type="dataBar" priority="14">
      <dataBar>
        <cfvo type="min"/>
        <cfvo type="max"/>
        <color rgb="FFB0812E"/>
      </dataBar>
      <extLst>
        <ext xmlns:x14="http://schemas.microsoft.com/office/spreadsheetml/2009/9/main" uri="{B025F937-C7B1-47D3-B67F-A62EFF666E3E}">
          <x14:id>{A4D6F790-4DA8-4F3D-8BE6-C9DEC356A29B}</x14:id>
        </ext>
      </extLst>
    </cfRule>
  </conditionalFormatting>
  <conditionalFormatting sqref="N9:N38">
    <cfRule type="cellIs" dxfId="3" priority="10" operator="equal">
      <formula>"Abgeschlossen"</formula>
    </cfRule>
    <cfRule type="cellIs" dxfId="2" priority="11" operator="equal">
      <formula>"in Bearbeitung"</formula>
    </cfRule>
    <cfRule type="cellIs" dxfId="1" priority="12" operator="equal">
      <formula>"Ausführung"</formula>
    </cfRule>
    <cfRule type="cellIs" dxfId="0" priority="13" operator="equal">
      <formula>"Planung"</formula>
    </cfRule>
  </conditionalFormatting>
  <dataValidations count="3">
    <dataValidation type="decimal" operator="greaterThan" allowBlank="1" errorTitle="Ungültige Fläche" error="Fläche muss größer als 0 sein." sqref="E9:E38" xr:uid="{00000000-0002-0000-0000-000007000000}">
      <formula1>0</formula1>
      <formula2>0</formula2>
    </dataValidation>
    <dataValidation type="decimal" allowBlank="1" errorTitle="Ungültige Raumhöhe" error="Raumhöhe in Metern (1 bis 10)." sqref="F9:F38" xr:uid="{00000000-0002-0000-0000-000008000000}">
      <formula1>1</formula1>
      <formula2>10</formula2>
    </dataValidation>
    <dataValidation type="decimal" operator="greaterThanOrEqual" allowBlank="1" errorTitle="Ungültiger Betrag" error="Kosten müssen &gt;= 0 sein." sqref="L9:L38" xr:uid="{00000000-0002-0000-0000-000009000000}">
      <formula1>0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93440-F4BB-41B7-BAD7-E790D76D4FE0}">
            <x14:dataBar axisPosition="none">
              <x14:cfvo type="min"/>
              <x14:cfvo type="max"/>
              <x14:negativeFillColor rgb="FF2E5A88"/>
            </x14:dataBar>
          </x14:cfRule>
          <xm:sqref>E9:E38</xm:sqref>
        </x14:conditionalFormatting>
        <x14:conditionalFormatting xmlns:xm="http://schemas.microsoft.com/office/excel/2006/main">
          <x14:cfRule type="dataBar" id="{A4D6F790-4DA8-4F3D-8BE6-C9DEC356A29B}">
            <x14:dataBar axisPosition="none">
              <x14:cfvo type="min"/>
              <x14:cfvo type="max"/>
              <x14:negativeFillColor rgb="FFB0812E"/>
            </x14:dataBar>
          </x14:cfRule>
          <xm:sqref>L9:L38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errorTitle="Ungültige Eingabe" error="Bitte einen Wert aus der Liste wählen." prompt="Wert aus der Dropdown-Liste wählen." xr:uid="{00000000-0002-0000-0000-000000000000}">
          <x14:formula1>
            <xm:f>Listen!$B$4:$B$10</xm:f>
          </x14:formula1>
          <x14:formula2>
            <xm:f>0</xm:f>
          </x14:formula2>
          <xm:sqref>B9:B38</xm:sqref>
        </x14:dataValidation>
        <x14:dataValidation type="list" allowBlank="1" errorTitle="Ungültige Eingabe" error="Bitte einen Wert aus der Liste wählen." prompt="Wert aus der Dropdown-Liste wählen." xr:uid="{00000000-0002-0000-0000-000001000000}">
          <x14:formula1>
            <xm:f>Listen!$C$4:$C$15</xm:f>
          </x14:formula1>
          <x14:formula2>
            <xm:f>0</xm:f>
          </x14:formula2>
          <xm:sqref>D9:D38</xm:sqref>
        </x14:dataValidation>
        <x14:dataValidation type="list" allowBlank="1" errorTitle="Ungültige Eingabe" error="Bitte einen Wert aus der Liste wählen." prompt="Wert aus der Dropdown-Liste wählen." xr:uid="{00000000-0002-0000-0000-000002000000}">
          <x14:formula1>
            <xm:f>Listen!$D$4:$D$11</xm:f>
          </x14:formula1>
          <x14:formula2>
            <xm:f>0</xm:f>
          </x14:formula2>
          <xm:sqref>H9:H38</xm:sqref>
        </x14:dataValidation>
        <x14:dataValidation type="list" allowBlank="1" errorTitle="Ungültige Eingabe" error="Bitte einen Wert aus der Liste wählen." prompt="Wert aus der Dropdown-Liste wählen." xr:uid="{00000000-0002-0000-0000-000003000000}">
          <x14:formula1>
            <xm:f>Listen!$E$4:$E$10</xm:f>
          </x14:formula1>
          <x14:formula2>
            <xm:f>0</xm:f>
          </x14:formula2>
          <xm:sqref>I9:I38</xm:sqref>
        </x14:dataValidation>
        <x14:dataValidation type="list" allowBlank="1" errorTitle="Ungültige Eingabe" error="Bitte einen Wert aus der Liste wählen." prompt="Wert aus der Dropdown-Liste wählen." xr:uid="{00000000-0002-0000-0000-000004000000}">
          <x14:formula1>
            <xm:f>Listen!$F$4:$F$9</xm:f>
          </x14:formula1>
          <x14:formula2>
            <xm:f>0</xm:f>
          </x14:formula2>
          <xm:sqref>J9:J38</xm:sqref>
        </x14:dataValidation>
        <x14:dataValidation type="list" allowBlank="1" errorTitle="Ungültige Eingabe" error="Bitte einen Wert aus der Liste wählen." prompt="Wert aus der Dropdown-Liste wählen." xr:uid="{00000000-0002-0000-0000-000005000000}">
          <x14:formula1>
            <xm:f>Listen!$H$4:$H$10</xm:f>
          </x14:formula1>
          <x14:formula2>
            <xm:f>0</xm:f>
          </x14:formula2>
          <xm:sqref>K9:K38</xm:sqref>
        </x14:dataValidation>
        <x14:dataValidation type="list" allowBlank="1" errorTitle="Ungültige Eingabe" error="Bitte einen Wert aus der Liste wählen." prompt="Wert aus der Dropdown-Liste wählen." xr:uid="{00000000-0002-0000-0000-000006000000}">
          <x14:formula1>
            <xm:f>Listen!$G$4:$G$7</xm:f>
          </x14:formula1>
          <x14:formula2>
            <xm:f>0</xm:f>
          </x14:formula2>
          <xm:sqref>N9:N38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5A88"/>
    <pageSetUpPr fitToPage="1"/>
  </sheetPr>
  <dimension ref="B1:N53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5" width="17" customWidth="1"/>
    <col min="6" max="6" width="4" customWidth="1"/>
    <col min="7" max="7" width="17" customWidth="1"/>
    <col min="8" max="14" width="11" customWidth="1"/>
  </cols>
  <sheetData>
    <row r="1" spans="2:14" ht="30" customHeight="1" x14ac:dyDescent="0.25">
      <c r="B1" s="57" t="s">
        <v>116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2:14" x14ac:dyDescent="0.25">
      <c r="B2" s="55" t="s">
        <v>117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4" spans="2:14" ht="3.75" customHeight="1" x14ac:dyDescent="0.25">
      <c r="B4" s="21"/>
      <c r="C4" s="21"/>
      <c r="D4" s="21"/>
      <c r="E4" s="21"/>
      <c r="G4" s="21"/>
    </row>
    <row r="5" spans="2:14" x14ac:dyDescent="0.25">
      <c r="B5" s="22" t="s">
        <v>118</v>
      </c>
      <c r="C5" s="22" t="s">
        <v>119</v>
      </c>
      <c r="D5" s="22" t="s">
        <v>120</v>
      </c>
      <c r="E5" s="22" t="s">
        <v>121</v>
      </c>
      <c r="G5" s="22" t="s">
        <v>122</v>
      </c>
    </row>
    <row r="6" spans="2:14" ht="30" customHeight="1" x14ac:dyDescent="0.25">
      <c r="B6" s="23">
        <f>COUNTA(Raumbuch!C9:C38)</f>
        <v>15</v>
      </c>
      <c r="C6" s="24">
        <f>SUM(Raumbuch!E9:E38)</f>
        <v>452.5</v>
      </c>
      <c r="D6" s="25">
        <f>SUM(Raumbuch!G9:G38)</f>
        <v>1372.4</v>
      </c>
      <c r="E6" s="26">
        <f>SUM(Raumbuch!L9:L38)</f>
        <v>172400</v>
      </c>
      <c r="G6" s="27">
        <f>IFERROR(SUM(Raumbuch!L9:L38)/SUM(Raumbuch!E9:E38),0)</f>
        <v>380.99447513812157</v>
      </c>
    </row>
    <row r="9" spans="2:14" ht="19.5" customHeight="1" x14ac:dyDescent="0.25">
      <c r="B9" s="56" t="s">
        <v>123</v>
      </c>
      <c r="C9" s="56"/>
      <c r="D9" s="56"/>
      <c r="E9" s="56"/>
    </row>
    <row r="10" spans="2:14" x14ac:dyDescent="0.25">
      <c r="B10" s="28" t="s">
        <v>124</v>
      </c>
      <c r="C10" s="28" t="s">
        <v>125</v>
      </c>
      <c r="D10" s="28" t="s">
        <v>18</v>
      </c>
      <c r="E10" s="28" t="s">
        <v>126</v>
      </c>
    </row>
    <row r="11" spans="2:14" x14ac:dyDescent="0.25">
      <c r="B11" s="29" t="s">
        <v>30</v>
      </c>
      <c r="C11" s="30">
        <f>COUNTIF(Raumbuch!$B$9:$B$38,"UG")</f>
        <v>3</v>
      </c>
      <c r="D11" s="31">
        <f>SUMIF(Raumbuch!$B$9:$B$38,"UG",Raumbuch!$E$9:$E$38)</f>
        <v>96.5</v>
      </c>
      <c r="E11" s="32">
        <f>SUMIF(Raumbuch!$B$9:$B$38,"UG",Raumbuch!$L$9:$L$38)</f>
        <v>29500</v>
      </c>
    </row>
    <row r="12" spans="2:14" x14ac:dyDescent="0.25">
      <c r="B12" s="33" t="s">
        <v>52</v>
      </c>
      <c r="C12" s="34">
        <f>COUNTIF(Raumbuch!$B$9:$B$38,"EG")</f>
        <v>6</v>
      </c>
      <c r="D12" s="35">
        <f>SUMIF(Raumbuch!$B$9:$B$38,"EG",Raumbuch!$E$9:$E$38)</f>
        <v>136</v>
      </c>
      <c r="E12" s="36">
        <f>SUMIF(Raumbuch!$B$9:$B$38,"EG",Raumbuch!$L$9:$L$38)</f>
        <v>62700</v>
      </c>
    </row>
    <row r="13" spans="2:14" x14ac:dyDescent="0.25">
      <c r="B13" s="29" t="s">
        <v>87</v>
      </c>
      <c r="C13" s="30">
        <f>COUNTIF(Raumbuch!$B$9:$B$38,"1.OG")</f>
        <v>6</v>
      </c>
      <c r="D13" s="31">
        <f>SUMIF(Raumbuch!$B$9:$B$38,"1.OG",Raumbuch!$E$9:$E$38)</f>
        <v>220</v>
      </c>
      <c r="E13" s="32">
        <f>SUMIF(Raumbuch!$B$9:$B$38,"1.OG",Raumbuch!$L$9:$L$38)</f>
        <v>80200</v>
      </c>
    </row>
    <row r="14" spans="2:14" x14ac:dyDescent="0.25">
      <c r="B14" s="33" t="s">
        <v>127</v>
      </c>
      <c r="C14" s="34">
        <f>COUNTIF(Raumbuch!$B$9:$B$38,"2.OG")</f>
        <v>0</v>
      </c>
      <c r="D14" s="35">
        <f>SUMIF(Raumbuch!$B$9:$B$38,"2.OG",Raumbuch!$E$9:$E$38)</f>
        <v>0</v>
      </c>
      <c r="E14" s="36">
        <f>SUMIF(Raumbuch!$B$9:$B$38,"2.OG",Raumbuch!$L$9:$L$38)</f>
        <v>0</v>
      </c>
    </row>
    <row r="15" spans="2:14" x14ac:dyDescent="0.25">
      <c r="B15" s="29" t="s">
        <v>128</v>
      </c>
      <c r="C15" s="30">
        <f>COUNTIF(Raumbuch!$B$9:$B$38,"3.OG")</f>
        <v>0</v>
      </c>
      <c r="D15" s="31">
        <f>SUMIF(Raumbuch!$B$9:$B$38,"3.OG",Raumbuch!$E$9:$E$38)</f>
        <v>0</v>
      </c>
      <c r="E15" s="32">
        <f>SUMIF(Raumbuch!$B$9:$B$38,"3.OG",Raumbuch!$L$9:$L$38)</f>
        <v>0</v>
      </c>
    </row>
    <row r="16" spans="2:14" x14ac:dyDescent="0.25">
      <c r="B16" s="33" t="s">
        <v>129</v>
      </c>
      <c r="C16" s="34">
        <f>COUNTIF(Raumbuch!$B$9:$B$38,"DG")</f>
        <v>0</v>
      </c>
      <c r="D16" s="35">
        <f>SUMIF(Raumbuch!$B$9:$B$38,"DG",Raumbuch!$E$9:$E$38)</f>
        <v>0</v>
      </c>
      <c r="E16" s="36">
        <f>SUMIF(Raumbuch!$B$9:$B$38,"DG",Raumbuch!$L$9:$L$38)</f>
        <v>0</v>
      </c>
    </row>
    <row r="17" spans="2:5" x14ac:dyDescent="0.25">
      <c r="B17" s="29" t="s">
        <v>130</v>
      </c>
      <c r="C17" s="30">
        <f>COUNTIF(Raumbuch!$B$9:$B$38,"Staffelgeschoss")</f>
        <v>0</v>
      </c>
      <c r="D17" s="31">
        <f>SUMIF(Raumbuch!$B$9:$B$38,"Staffelgeschoss",Raumbuch!$E$9:$E$38)</f>
        <v>0</v>
      </c>
      <c r="E17" s="32">
        <f>SUMIF(Raumbuch!$B$9:$B$38,"Staffelgeschoss",Raumbuch!$L$9:$L$38)</f>
        <v>0</v>
      </c>
    </row>
    <row r="18" spans="2:5" x14ac:dyDescent="0.25">
      <c r="B18" s="37" t="s">
        <v>131</v>
      </c>
      <c r="C18" s="38">
        <f>SUM(C11:C17)</f>
        <v>15</v>
      </c>
      <c r="D18" s="39">
        <f>SUM(D11:D17)</f>
        <v>452.5</v>
      </c>
      <c r="E18" s="40">
        <f>SUM(E11:E17)</f>
        <v>172400</v>
      </c>
    </row>
    <row r="20" spans="2:5" ht="19.5" customHeight="1" x14ac:dyDescent="0.25">
      <c r="B20" s="56" t="s">
        <v>132</v>
      </c>
      <c r="C20" s="56"/>
      <c r="D20" s="56"/>
    </row>
    <row r="21" spans="2:5" x14ac:dyDescent="0.25">
      <c r="B21" s="28" t="s">
        <v>133</v>
      </c>
      <c r="C21" s="28" t="s">
        <v>18</v>
      </c>
      <c r="D21" s="28" t="s">
        <v>126</v>
      </c>
    </row>
    <row r="22" spans="2:5" x14ac:dyDescent="0.25">
      <c r="B22" s="29" t="s">
        <v>93</v>
      </c>
      <c r="C22" s="31">
        <f>SUMIF(Raumbuch!$D$9:$D$38,"Büro",Raumbuch!$E$9:$E$38)</f>
        <v>40</v>
      </c>
      <c r="D22" s="32">
        <f>SUMIF(Raumbuch!$D$9:$D$38,"Büro",Raumbuch!$L$9:$L$38)</f>
        <v>14400</v>
      </c>
    </row>
    <row r="23" spans="2:5" x14ac:dyDescent="0.25">
      <c r="B23" s="33" t="s">
        <v>89</v>
      </c>
      <c r="C23" s="35">
        <f>SUMIF(Raumbuch!$D$9:$D$38,"Großraumbüro",Raumbuch!$E$9:$E$38)</f>
        <v>96</v>
      </c>
      <c r="D23" s="36">
        <f>SUMIF(Raumbuch!$D$9:$D$38,"Großraumbüro",Raumbuch!$L$9:$L$38)</f>
        <v>34000</v>
      </c>
    </row>
    <row r="24" spans="2:5" x14ac:dyDescent="0.25">
      <c r="B24" s="29" t="s">
        <v>63</v>
      </c>
      <c r="C24" s="31">
        <f>SUMIF(Raumbuch!$D$9:$D$38,"Besprechung",Raumbuch!$E$9:$E$38)</f>
        <v>54</v>
      </c>
      <c r="D24" s="32">
        <f>SUMIF(Raumbuch!$D$9:$D$38,"Besprechung",Raumbuch!$L$9:$L$38)</f>
        <v>27000</v>
      </c>
    </row>
    <row r="25" spans="2:5" x14ac:dyDescent="0.25">
      <c r="B25" s="33" t="s">
        <v>54</v>
      </c>
      <c r="C25" s="35">
        <f>SUMIF(Raumbuch!$D$9:$D$38,"Empfang/Foyer",Raumbuch!$E$9:$E$38)</f>
        <v>28</v>
      </c>
      <c r="D25" s="36">
        <f>SUMIF(Raumbuch!$D$9:$D$38,"Empfang/Foyer",Raumbuch!$L$9:$L$38)</f>
        <v>21000</v>
      </c>
    </row>
    <row r="26" spans="2:5" x14ac:dyDescent="0.25">
      <c r="B26" s="29" t="s">
        <v>83</v>
      </c>
      <c r="C26" s="31">
        <f>SUMIF(Raumbuch!$D$9:$D$38,"Flur/Verkehr",Raumbuch!$E$9:$E$38)</f>
        <v>57</v>
      </c>
      <c r="D26" s="32">
        <f>SUMIF(Raumbuch!$D$9:$D$38,"Flur/Verkehr",Raumbuch!$L$9:$L$38)</f>
        <v>8600</v>
      </c>
    </row>
    <row r="27" spans="2:5" x14ac:dyDescent="0.25">
      <c r="B27" s="33" t="s">
        <v>76</v>
      </c>
      <c r="C27" s="35">
        <f>SUMIF(Raumbuch!$D$9:$D$38,"Sanitär/WC",Raumbuch!$E$9:$E$38)</f>
        <v>17</v>
      </c>
      <c r="D27" s="36">
        <f>SUMIF(Raumbuch!$D$9:$D$38,"Sanitär/WC",Raumbuch!$L$9:$L$38)</f>
        <v>10800</v>
      </c>
    </row>
    <row r="28" spans="2:5" x14ac:dyDescent="0.25">
      <c r="B28" s="29" t="s">
        <v>69</v>
      </c>
      <c r="C28" s="31">
        <f>SUMIF(Raumbuch!$D$9:$D$38,"Teeküche",Raumbuch!$E$9:$E$38)</f>
        <v>12</v>
      </c>
      <c r="D28" s="32">
        <f>SUMIF(Raumbuch!$D$9:$D$38,"Teeküche",Raumbuch!$L$9:$L$38)</f>
        <v>9800</v>
      </c>
    </row>
    <row r="29" spans="2:5" x14ac:dyDescent="0.25">
      <c r="B29" s="33" t="s">
        <v>110</v>
      </c>
      <c r="C29" s="35">
        <f>SUMIF(Raumbuch!$D$9:$D$38,"Sozialraum",Raumbuch!$E$9:$E$38)</f>
        <v>30</v>
      </c>
      <c r="D29" s="36">
        <f>SUMIF(Raumbuch!$D$9:$D$38,"Sozialraum",Raumbuch!$L$9:$L$38)</f>
        <v>4400</v>
      </c>
    </row>
    <row r="30" spans="2:5" x14ac:dyDescent="0.25">
      <c r="B30" s="29" t="s">
        <v>40</v>
      </c>
      <c r="C30" s="31">
        <f>SUMIF(Raumbuch!$D$9:$D$38,"Lager",Raumbuch!$E$9:$E$38)</f>
        <v>38</v>
      </c>
      <c r="D30" s="32">
        <f>SUMIF(Raumbuch!$D$9:$D$38,"Lager",Raumbuch!$L$9:$L$38)</f>
        <v>4200</v>
      </c>
    </row>
    <row r="31" spans="2:5" x14ac:dyDescent="0.25">
      <c r="B31" s="33" t="s">
        <v>47</v>
      </c>
      <c r="C31" s="35">
        <f>SUMIF(Raumbuch!$D$9:$D$38,"Archiv",Raumbuch!$E$9:$E$38)</f>
        <v>34</v>
      </c>
      <c r="D31" s="36">
        <f>SUMIF(Raumbuch!$D$9:$D$38,"Archiv",Raumbuch!$L$9:$L$38)</f>
        <v>6800</v>
      </c>
    </row>
    <row r="32" spans="2:5" x14ac:dyDescent="0.25">
      <c r="B32" s="29" t="s">
        <v>32</v>
      </c>
      <c r="C32" s="31">
        <f>SUMIF(Raumbuch!$D$9:$D$38,"Technik",Raumbuch!$E$9:$E$38)</f>
        <v>24.5</v>
      </c>
      <c r="D32" s="32">
        <f>SUMIF(Raumbuch!$D$9:$D$38,"Technik",Raumbuch!$L$9:$L$38)</f>
        <v>18500</v>
      </c>
    </row>
    <row r="33" spans="2:4" x14ac:dyDescent="0.25">
      <c r="B33" s="33" t="s">
        <v>103</v>
      </c>
      <c r="C33" s="35">
        <f>SUMIF(Raumbuch!$D$9:$D$38,"Serverraum",Raumbuch!$E$9:$E$38)</f>
        <v>22</v>
      </c>
      <c r="D33" s="36">
        <f>SUMIF(Raumbuch!$D$9:$D$38,"Serverraum",Raumbuch!$L$9:$L$38)</f>
        <v>12900</v>
      </c>
    </row>
    <row r="34" spans="2:4" x14ac:dyDescent="0.25">
      <c r="B34" s="37" t="s">
        <v>131</v>
      </c>
      <c r="C34" s="39">
        <f>SUM(C22:C33)</f>
        <v>452.5</v>
      </c>
      <c r="D34" s="40">
        <f>SUM(D22:D33)</f>
        <v>172400</v>
      </c>
    </row>
    <row r="36" spans="2:4" ht="19.5" customHeight="1" x14ac:dyDescent="0.25">
      <c r="B36" s="56" t="s">
        <v>134</v>
      </c>
      <c r="C36" s="56"/>
    </row>
    <row r="37" spans="2:4" x14ac:dyDescent="0.25">
      <c r="B37" s="28" t="s">
        <v>135</v>
      </c>
      <c r="C37" s="28" t="s">
        <v>126</v>
      </c>
    </row>
    <row r="38" spans="2:4" x14ac:dyDescent="0.25">
      <c r="B38" s="29" t="s">
        <v>136</v>
      </c>
      <c r="C38" s="32">
        <f>SUMIF(Raumbuch!$K$9:$K$38,"300",Raumbuch!$L$9:$L$38)</f>
        <v>21000</v>
      </c>
    </row>
    <row r="39" spans="2:4" x14ac:dyDescent="0.25">
      <c r="B39" s="33" t="s">
        <v>137</v>
      </c>
      <c r="C39" s="36">
        <f>SUMIF(Raumbuch!$K$9:$K$38,"334",Raumbuch!$L$9:$L$38)</f>
        <v>4400</v>
      </c>
    </row>
    <row r="40" spans="2:4" x14ac:dyDescent="0.25">
      <c r="B40" s="29" t="s">
        <v>138</v>
      </c>
      <c r="C40" s="32">
        <f>SUMIF(Raumbuch!$K$9:$K$38,"344",Raumbuch!$L$9:$L$38)</f>
        <v>14500</v>
      </c>
    </row>
    <row r="41" spans="2:4" x14ac:dyDescent="0.25">
      <c r="B41" s="33" t="s">
        <v>139</v>
      </c>
      <c r="C41" s="36">
        <f>SUMIF(Raumbuch!$K$9:$K$38,"352",Raumbuch!$L$9:$L$38)</f>
        <v>8600</v>
      </c>
    </row>
    <row r="42" spans="2:4" x14ac:dyDescent="0.25">
      <c r="B42" s="29" t="s">
        <v>140</v>
      </c>
      <c r="C42" s="32">
        <f>SUMIF(Raumbuch!$K$9:$K$38,"400",Raumbuch!$L$9:$L$38)</f>
        <v>39100</v>
      </c>
    </row>
    <row r="43" spans="2:4" x14ac:dyDescent="0.25">
      <c r="B43" s="33" t="s">
        <v>141</v>
      </c>
      <c r="C43" s="36">
        <f>SUMIF(Raumbuch!$K$9:$K$38,"440",Raumbuch!$L$9:$L$38)</f>
        <v>12900</v>
      </c>
    </row>
    <row r="44" spans="2:4" x14ac:dyDescent="0.25">
      <c r="B44" s="29" t="s">
        <v>142</v>
      </c>
      <c r="C44" s="32">
        <f>SUMIF(Raumbuch!$K$9:$K$38,"610",Raumbuch!$L$9:$L$38)</f>
        <v>71900</v>
      </c>
    </row>
    <row r="45" spans="2:4" x14ac:dyDescent="0.25">
      <c r="B45" s="37" t="s">
        <v>131</v>
      </c>
      <c r="C45" s="40">
        <f>SUM(C38:C44)</f>
        <v>172400</v>
      </c>
    </row>
    <row r="47" spans="2:4" ht="19.5" customHeight="1" x14ac:dyDescent="0.25">
      <c r="B47" s="56" t="s">
        <v>143</v>
      </c>
      <c r="C47" s="56"/>
      <c r="D47" s="56"/>
    </row>
    <row r="48" spans="2:4" x14ac:dyDescent="0.25">
      <c r="B48" s="28" t="s">
        <v>144</v>
      </c>
      <c r="C48" s="28" t="s">
        <v>125</v>
      </c>
      <c r="D48" s="28" t="s">
        <v>18</v>
      </c>
    </row>
    <row r="49" spans="2:4" x14ac:dyDescent="0.25">
      <c r="B49" s="29" t="s">
        <v>43</v>
      </c>
      <c r="C49" s="30">
        <f>COUNTIF(Raumbuch!$N$9:$N$38,"Planung")</f>
        <v>8</v>
      </c>
      <c r="D49" s="31">
        <f>SUMIF(Raumbuch!$N$9:$N$38,"Planung",Raumbuch!$E$9:$E$38)</f>
        <v>253</v>
      </c>
    </row>
    <row r="50" spans="2:4" x14ac:dyDescent="0.25">
      <c r="B50" s="33" t="s">
        <v>59</v>
      </c>
      <c r="C50" s="34">
        <f>COUNTIF(Raumbuch!$N$9:$N$38,"in Bearbeitung")</f>
        <v>3</v>
      </c>
      <c r="D50" s="35">
        <f>SUMIF(Raumbuch!$N$9:$N$38,"in Bearbeitung",Raumbuch!$E$9:$E$38)</f>
        <v>132.5</v>
      </c>
    </row>
    <row r="51" spans="2:4" x14ac:dyDescent="0.25">
      <c r="B51" s="29" t="s">
        <v>72</v>
      </c>
      <c r="C51" s="30">
        <f>COUNTIF(Raumbuch!$N$9:$N$38,"Ausführung")</f>
        <v>2</v>
      </c>
      <c r="D51" s="31">
        <f>SUMIF(Raumbuch!$N$9:$N$38,"Ausführung",Raumbuch!$E$9:$E$38)</f>
        <v>20.5</v>
      </c>
    </row>
    <row r="52" spans="2:4" x14ac:dyDescent="0.25">
      <c r="B52" s="33" t="s">
        <v>36</v>
      </c>
      <c r="C52" s="34">
        <f>COUNTIF(Raumbuch!$N$9:$N$38,"Abgeschlossen")</f>
        <v>2</v>
      </c>
      <c r="D52" s="35">
        <f>SUMIF(Raumbuch!$N$9:$N$38,"Abgeschlossen",Raumbuch!$E$9:$E$38)</f>
        <v>46.5</v>
      </c>
    </row>
    <row r="53" spans="2:4" x14ac:dyDescent="0.25">
      <c r="B53" s="37" t="s">
        <v>131</v>
      </c>
      <c r="C53" s="38">
        <f>SUM(C49:C52)</f>
        <v>15</v>
      </c>
      <c r="D53" s="39">
        <f>SUM(D49:D52)</f>
        <v>452.5</v>
      </c>
    </row>
  </sheetData>
  <mergeCells count="6">
    <mergeCell ref="B47:D47"/>
    <mergeCell ref="B1:N1"/>
    <mergeCell ref="B2:N2"/>
    <mergeCell ref="B9:E9"/>
    <mergeCell ref="B20:D20"/>
    <mergeCell ref="B36:C36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5A88"/>
  </sheetPr>
  <dimension ref="B1:H26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8" width="22" customWidth="1"/>
  </cols>
  <sheetData>
    <row r="1" spans="2:8" ht="24" customHeight="1" x14ac:dyDescent="0.25">
      <c r="B1" s="60" t="s">
        <v>145</v>
      </c>
      <c r="C1" s="60"/>
      <c r="D1" s="60"/>
      <c r="E1" s="60"/>
      <c r="F1" s="60"/>
      <c r="G1" s="60"/>
      <c r="H1" s="60"/>
    </row>
    <row r="2" spans="2:8" x14ac:dyDescent="0.25">
      <c r="B2" s="61" t="s">
        <v>146</v>
      </c>
      <c r="C2" s="61"/>
      <c r="D2" s="61"/>
      <c r="E2" s="61"/>
      <c r="F2" s="61"/>
      <c r="G2" s="61"/>
      <c r="H2" s="61"/>
    </row>
    <row r="3" spans="2:8" x14ac:dyDescent="0.25">
      <c r="B3" s="1" t="s">
        <v>124</v>
      </c>
      <c r="C3" s="1" t="s">
        <v>133</v>
      </c>
      <c r="D3" s="1" t="s">
        <v>147</v>
      </c>
      <c r="E3" s="1" t="s">
        <v>148</v>
      </c>
      <c r="F3" s="1" t="s">
        <v>149</v>
      </c>
      <c r="G3" s="1" t="s">
        <v>144</v>
      </c>
      <c r="H3" s="1" t="s">
        <v>150</v>
      </c>
    </row>
    <row r="4" spans="2:8" x14ac:dyDescent="0.25">
      <c r="B4" s="41" t="s">
        <v>30</v>
      </c>
      <c r="C4" s="41" t="s">
        <v>93</v>
      </c>
      <c r="D4" s="41" t="s">
        <v>55</v>
      </c>
      <c r="E4" s="41" t="s">
        <v>41</v>
      </c>
      <c r="F4" s="41" t="s">
        <v>49</v>
      </c>
      <c r="G4" s="41" t="s">
        <v>43</v>
      </c>
      <c r="H4" s="41" t="s">
        <v>58</v>
      </c>
    </row>
    <row r="5" spans="2:8" x14ac:dyDescent="0.25">
      <c r="B5" s="42" t="s">
        <v>52</v>
      </c>
      <c r="C5" s="42" t="s">
        <v>89</v>
      </c>
      <c r="D5" s="42" t="s">
        <v>64</v>
      </c>
      <c r="E5" s="42" t="s">
        <v>70</v>
      </c>
      <c r="F5" s="42" t="s">
        <v>34</v>
      </c>
      <c r="G5" s="42" t="s">
        <v>59</v>
      </c>
      <c r="H5" s="42" t="s">
        <v>113</v>
      </c>
    </row>
    <row r="6" spans="2:8" x14ac:dyDescent="0.25">
      <c r="B6" s="41" t="s">
        <v>87</v>
      </c>
      <c r="C6" s="41" t="s">
        <v>63</v>
      </c>
      <c r="D6" s="41" t="s">
        <v>48</v>
      </c>
      <c r="E6" s="41" t="s">
        <v>34</v>
      </c>
      <c r="F6" s="41" t="s">
        <v>57</v>
      </c>
      <c r="G6" s="41" t="s">
        <v>72</v>
      </c>
      <c r="H6" s="41" t="s">
        <v>100</v>
      </c>
    </row>
    <row r="7" spans="2:8" x14ac:dyDescent="0.25">
      <c r="B7" s="42" t="s">
        <v>127</v>
      </c>
      <c r="C7" s="42" t="s">
        <v>54</v>
      </c>
      <c r="D7" s="42" t="s">
        <v>104</v>
      </c>
      <c r="E7" s="42" t="s">
        <v>65</v>
      </c>
      <c r="F7" s="42" t="s">
        <v>71</v>
      </c>
      <c r="G7" s="42" t="s">
        <v>36</v>
      </c>
      <c r="H7" s="42" t="s">
        <v>84</v>
      </c>
    </row>
    <row r="8" spans="2:8" x14ac:dyDescent="0.25">
      <c r="B8" s="41" t="s">
        <v>128</v>
      </c>
      <c r="C8" s="41" t="s">
        <v>83</v>
      </c>
      <c r="D8" s="41" t="s">
        <v>33</v>
      </c>
      <c r="E8" s="41" t="s">
        <v>99</v>
      </c>
      <c r="F8" s="41" t="s">
        <v>105</v>
      </c>
      <c r="H8" s="41" t="s">
        <v>35</v>
      </c>
    </row>
    <row r="9" spans="2:8" x14ac:dyDescent="0.25">
      <c r="B9" s="42" t="s">
        <v>129</v>
      </c>
      <c r="C9" s="42" t="s">
        <v>76</v>
      </c>
      <c r="D9" s="42" t="s">
        <v>98</v>
      </c>
      <c r="E9" s="42" t="s">
        <v>56</v>
      </c>
      <c r="F9" s="42" t="s">
        <v>151</v>
      </c>
      <c r="H9" s="42" t="s">
        <v>106</v>
      </c>
    </row>
    <row r="10" spans="2:8" x14ac:dyDescent="0.25">
      <c r="B10" s="41" t="s">
        <v>130</v>
      </c>
      <c r="C10" s="41" t="s">
        <v>69</v>
      </c>
      <c r="D10" s="41" t="s">
        <v>111</v>
      </c>
      <c r="E10" s="41" t="s">
        <v>112</v>
      </c>
      <c r="H10" s="41" t="s">
        <v>42</v>
      </c>
    </row>
    <row r="11" spans="2:8" x14ac:dyDescent="0.25">
      <c r="C11" s="42" t="s">
        <v>110</v>
      </c>
      <c r="D11" s="42" t="s">
        <v>77</v>
      </c>
    </row>
    <row r="12" spans="2:8" x14ac:dyDescent="0.25">
      <c r="C12" s="41" t="s">
        <v>40</v>
      </c>
    </row>
    <row r="13" spans="2:8" x14ac:dyDescent="0.25">
      <c r="C13" s="42" t="s">
        <v>47</v>
      </c>
    </row>
    <row r="14" spans="2:8" x14ac:dyDescent="0.25">
      <c r="C14" s="41" t="s">
        <v>32</v>
      </c>
    </row>
    <row r="15" spans="2:8" x14ac:dyDescent="0.25">
      <c r="C15" s="42" t="s">
        <v>103</v>
      </c>
    </row>
    <row r="18" spans="2:8" ht="21.75" customHeight="1" x14ac:dyDescent="0.25">
      <c r="B18" s="62" t="s">
        <v>152</v>
      </c>
      <c r="C18" s="62"/>
      <c r="D18" s="62"/>
      <c r="E18" s="62"/>
      <c r="F18" s="62"/>
      <c r="G18" s="62"/>
      <c r="H18" s="62"/>
    </row>
    <row r="19" spans="2:8" ht="18" customHeight="1" x14ac:dyDescent="0.25">
      <c r="B19" s="43"/>
      <c r="C19" s="58" t="s">
        <v>153</v>
      </c>
      <c r="D19" s="58"/>
      <c r="E19" s="59" t="s">
        <v>154</v>
      </c>
      <c r="F19" s="59"/>
      <c r="G19" s="59"/>
      <c r="H19" s="59"/>
    </row>
    <row r="20" spans="2:8" ht="18" customHeight="1" x14ac:dyDescent="0.25">
      <c r="B20" s="43"/>
      <c r="C20" s="58" t="s">
        <v>155</v>
      </c>
      <c r="D20" s="58"/>
      <c r="E20" s="59" t="s">
        <v>156</v>
      </c>
      <c r="F20" s="59"/>
      <c r="G20" s="59"/>
      <c r="H20" s="59"/>
    </row>
    <row r="21" spans="2:8" ht="18" customHeight="1" x14ac:dyDescent="0.25">
      <c r="B21" s="44"/>
      <c r="C21" s="58" t="s">
        <v>157</v>
      </c>
      <c r="D21" s="58"/>
      <c r="E21" s="59" t="s">
        <v>158</v>
      </c>
      <c r="F21" s="59"/>
      <c r="G21" s="59"/>
      <c r="H21" s="59"/>
    </row>
    <row r="22" spans="2:8" ht="18" customHeight="1" x14ac:dyDescent="0.25">
      <c r="B22" s="45"/>
      <c r="C22" s="58" t="s">
        <v>159</v>
      </c>
      <c r="D22" s="58"/>
      <c r="E22" s="59" t="s">
        <v>160</v>
      </c>
      <c r="F22" s="59"/>
      <c r="G22" s="59"/>
      <c r="H22" s="59"/>
    </row>
    <row r="23" spans="2:8" ht="18" customHeight="1" x14ac:dyDescent="0.25">
      <c r="B23" s="46"/>
      <c r="C23" s="58" t="s">
        <v>161</v>
      </c>
      <c r="D23" s="58"/>
      <c r="E23" s="59" t="s">
        <v>162</v>
      </c>
      <c r="F23" s="59"/>
      <c r="G23" s="59"/>
      <c r="H23" s="59"/>
    </row>
    <row r="24" spans="2:8" ht="18" customHeight="1" x14ac:dyDescent="0.25">
      <c r="B24" s="47"/>
      <c r="C24" s="58" t="s">
        <v>163</v>
      </c>
      <c r="D24" s="58"/>
      <c r="E24" s="59" t="s">
        <v>164</v>
      </c>
      <c r="F24" s="59"/>
      <c r="G24" s="59"/>
      <c r="H24" s="59"/>
    </row>
    <row r="25" spans="2:8" ht="18" customHeight="1" x14ac:dyDescent="0.25">
      <c r="B25" s="46"/>
      <c r="C25" s="58" t="s">
        <v>165</v>
      </c>
      <c r="D25" s="58"/>
      <c r="E25" s="59" t="s">
        <v>166</v>
      </c>
      <c r="F25" s="59"/>
      <c r="G25" s="59"/>
      <c r="H25" s="59"/>
    </row>
    <row r="26" spans="2:8" ht="18" customHeight="1" x14ac:dyDescent="0.25">
      <c r="B26" s="48"/>
      <c r="C26" s="58" t="s">
        <v>167</v>
      </c>
      <c r="D26" s="58"/>
      <c r="E26" s="59" t="s">
        <v>168</v>
      </c>
      <c r="F26" s="59"/>
      <c r="G26" s="59"/>
      <c r="H26" s="59"/>
    </row>
  </sheetData>
  <mergeCells count="19">
    <mergeCell ref="B1:H1"/>
    <mergeCell ref="B2:H2"/>
    <mergeCell ref="B18:H18"/>
    <mergeCell ref="C19:D19"/>
    <mergeCell ref="E19:H19"/>
    <mergeCell ref="C20:D20"/>
    <mergeCell ref="E20:H20"/>
    <mergeCell ref="C21:D21"/>
    <mergeCell ref="E21:H21"/>
    <mergeCell ref="C22:D22"/>
    <mergeCell ref="E22:H22"/>
    <mergeCell ref="C26:D26"/>
    <mergeCell ref="E26:H26"/>
    <mergeCell ref="C23:D23"/>
    <mergeCell ref="E23:H23"/>
    <mergeCell ref="C24:D24"/>
    <mergeCell ref="E24:H24"/>
    <mergeCell ref="C25:D25"/>
    <mergeCell ref="E25:H2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Raumbuch</vt:lpstr>
      <vt:lpstr>Auswertung</vt:lpstr>
      <vt:lpstr>Listen</vt:lpstr>
      <vt:lpstr>Raumbuch!Druckbereich</vt:lpstr>
      <vt:lpstr>Raumbuch!Drucktitel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2026-08-21T18:04:34Z</dcterms:created>
  <dcterms:modified xsi:type="dcterms:W3CDTF">2026-08-22T06:03:50Z</dcterms:modified>
  <dc:language>en-US</dc:language>
</cp:coreProperties>
</file>