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Vorlage Cloud\Generador Excel\"/>
    </mc:Choice>
  </mc:AlternateContent>
  <xr:revisionPtr revIDLastSave="0" documentId="13_ncr:1_{9F0529C5-1CD1-4A58-97F1-0AEC19021169}" xr6:coauthVersionLast="47" xr6:coauthVersionMax="47" xr10:uidLastSave="{00000000-0000-0000-0000-000000000000}"/>
  <bookViews>
    <workbookView xWindow="1035" yWindow="1035" windowWidth="25500" windowHeight="13500" tabRatio="500" xr2:uid="{00000000-000D-0000-FFFF-FFFF00000000}"/>
  </bookViews>
  <sheets>
    <sheet name="Übersicht" sheetId="1" r:id="rId1"/>
    <sheet name="Raumbuch" sheetId="2" r:id="rId2"/>
    <sheet name="Raumdatenblatt" sheetId="3" r:id="rId3"/>
    <sheet name="Stammdaten" sheetId="4" r:id="rId4"/>
  </sheets>
  <definedNames>
    <definedName name="_xlnm._FilterDatabase" localSheetId="1" hidden="1">Raumbuch!$A$5:$AJ$85</definedName>
    <definedName name="_xlnm.Print_Area" localSheetId="1">Raumbuch!$A$1:$AJ$86</definedName>
    <definedName name="_xlnm.Print_Area" localSheetId="2">Raumdatenblatt!$A$1:$I$44</definedName>
    <definedName name="_xlnm.Print_Area" localSheetId="3">Stammdaten!$A$1:$K$38</definedName>
    <definedName name="_xlnm.Print_Area" localSheetId="0">Übersicht!$A$1:$K$75</definedName>
    <definedName name="_xlnm.Print_Titles" localSheetId="1">Raumbuch!$4:$5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2" i="3" l="1"/>
  <c r="B36" i="3" s="1"/>
  <c r="F2" i="3"/>
  <c r="X86" i="2"/>
  <c r="V86" i="2"/>
  <c r="U86" i="2"/>
  <c r="N86" i="2"/>
  <c r="M86" i="2"/>
  <c r="AI85" i="2"/>
  <c r="AH85" i="2"/>
  <c r="AB85" i="2"/>
  <c r="K85" i="2"/>
  <c r="O85" i="2" s="1"/>
  <c r="AA85" i="2" s="1"/>
  <c r="J85" i="2"/>
  <c r="L85" i="2" s="1"/>
  <c r="AI84" i="2"/>
  <c r="AH84" i="2"/>
  <c r="O84" i="2"/>
  <c r="AA84" i="2" s="1"/>
  <c r="L84" i="2"/>
  <c r="K84" i="2"/>
  <c r="J84" i="2"/>
  <c r="AD84" i="2" s="1"/>
  <c r="AI83" i="2"/>
  <c r="AH83" i="2"/>
  <c r="AD83" i="2"/>
  <c r="AC83" i="2"/>
  <c r="AB83" i="2"/>
  <c r="O83" i="2"/>
  <c r="AA83" i="2" s="1"/>
  <c r="L83" i="2"/>
  <c r="K83" i="2"/>
  <c r="J83" i="2"/>
  <c r="Z83" i="2" s="1"/>
  <c r="AI82" i="2"/>
  <c r="AH82" i="2"/>
  <c r="K82" i="2"/>
  <c r="O82" i="2" s="1"/>
  <c r="AA82" i="2" s="1"/>
  <c r="J82" i="2"/>
  <c r="AD82" i="2" s="1"/>
  <c r="AI81" i="2"/>
  <c r="AH81" i="2"/>
  <c r="AD81" i="2"/>
  <c r="AA81" i="2"/>
  <c r="Z81" i="2"/>
  <c r="O81" i="2"/>
  <c r="K81" i="2"/>
  <c r="J81" i="2"/>
  <c r="AB81" i="2" s="1"/>
  <c r="AI80" i="2"/>
  <c r="AH80" i="2"/>
  <c r="K80" i="2"/>
  <c r="O80" i="2" s="1"/>
  <c r="AA80" i="2" s="1"/>
  <c r="J80" i="2"/>
  <c r="AD80" i="2" s="1"/>
  <c r="AI79" i="2"/>
  <c r="AH79" i="2"/>
  <c r="AC79" i="2"/>
  <c r="AB79" i="2"/>
  <c r="K79" i="2"/>
  <c r="O79" i="2" s="1"/>
  <c r="AA79" i="2" s="1"/>
  <c r="J79" i="2"/>
  <c r="AD79" i="2" s="1"/>
  <c r="AI78" i="2"/>
  <c r="AH78" i="2"/>
  <c r="AD78" i="2"/>
  <c r="AC78" i="2"/>
  <c r="AB78" i="2"/>
  <c r="Z78" i="2"/>
  <c r="O78" i="2"/>
  <c r="AA78" i="2" s="1"/>
  <c r="L78" i="2"/>
  <c r="K78" i="2"/>
  <c r="J78" i="2"/>
  <c r="AI77" i="2"/>
  <c r="AH77" i="2"/>
  <c r="AD77" i="2"/>
  <c r="AC77" i="2"/>
  <c r="O77" i="2"/>
  <c r="AA77" i="2" s="1"/>
  <c r="K77" i="2"/>
  <c r="J77" i="2"/>
  <c r="AB77" i="2" s="1"/>
  <c r="AI76" i="2"/>
  <c r="AH76" i="2"/>
  <c r="AA76" i="2"/>
  <c r="Z76" i="2"/>
  <c r="O76" i="2"/>
  <c r="K76" i="2"/>
  <c r="J76" i="2"/>
  <c r="AD76" i="2" s="1"/>
  <c r="AI75" i="2"/>
  <c r="AH75" i="2"/>
  <c r="AB75" i="2"/>
  <c r="Z75" i="2"/>
  <c r="L75" i="2"/>
  <c r="K75" i="2"/>
  <c r="O75" i="2" s="1"/>
  <c r="AA75" i="2" s="1"/>
  <c r="J75" i="2"/>
  <c r="AD75" i="2" s="1"/>
  <c r="AI74" i="2"/>
  <c r="AH74" i="2"/>
  <c r="AD74" i="2"/>
  <c r="AC74" i="2"/>
  <c r="AB74" i="2"/>
  <c r="L74" i="2"/>
  <c r="K74" i="2"/>
  <c r="O74" i="2" s="1"/>
  <c r="AA74" i="2" s="1"/>
  <c r="J74" i="2"/>
  <c r="Z74" i="2" s="1"/>
  <c r="AI73" i="2"/>
  <c r="AH73" i="2"/>
  <c r="O73" i="2"/>
  <c r="AA73" i="2" s="1"/>
  <c r="K73" i="2"/>
  <c r="J73" i="2"/>
  <c r="AD73" i="2" s="1"/>
  <c r="AI72" i="2"/>
  <c r="AH72" i="2"/>
  <c r="AD72" i="2"/>
  <c r="AC72" i="2"/>
  <c r="Z72" i="2"/>
  <c r="O72" i="2"/>
  <c r="AA72" i="2" s="1"/>
  <c r="L72" i="2"/>
  <c r="K72" i="2"/>
  <c r="J72" i="2"/>
  <c r="AB72" i="2" s="1"/>
  <c r="AI71" i="2"/>
  <c r="AH71" i="2"/>
  <c r="K71" i="2"/>
  <c r="O71" i="2" s="1"/>
  <c r="AA71" i="2" s="1"/>
  <c r="J71" i="2"/>
  <c r="AD71" i="2" s="1"/>
  <c r="AI70" i="2"/>
  <c r="AH70" i="2"/>
  <c r="AC70" i="2"/>
  <c r="AB70" i="2"/>
  <c r="Z70" i="2"/>
  <c r="K70" i="2"/>
  <c r="O70" i="2" s="1"/>
  <c r="AA70" i="2" s="1"/>
  <c r="J70" i="2"/>
  <c r="L70" i="2" s="1"/>
  <c r="AI69" i="2"/>
  <c r="AH69" i="2"/>
  <c r="L69" i="2"/>
  <c r="K69" i="2"/>
  <c r="O69" i="2" s="1"/>
  <c r="AA69" i="2" s="1"/>
  <c r="J69" i="2"/>
  <c r="AD69" i="2" s="1"/>
  <c r="AI68" i="2"/>
  <c r="AH68" i="2"/>
  <c r="AD68" i="2"/>
  <c r="AC68" i="2"/>
  <c r="AB68" i="2"/>
  <c r="L68" i="2"/>
  <c r="K68" i="2"/>
  <c r="O68" i="2" s="1"/>
  <c r="AA68" i="2" s="1"/>
  <c r="J68" i="2"/>
  <c r="Z68" i="2" s="1"/>
  <c r="AI67" i="2"/>
  <c r="AH67" i="2"/>
  <c r="Z67" i="2"/>
  <c r="O67" i="2"/>
  <c r="AA67" i="2" s="1"/>
  <c r="L67" i="2"/>
  <c r="K67" i="2"/>
  <c r="J67" i="2"/>
  <c r="AD67" i="2" s="1"/>
  <c r="AI66" i="2"/>
  <c r="AH66" i="2"/>
  <c r="AD66" i="2"/>
  <c r="K66" i="2"/>
  <c r="O66" i="2" s="1"/>
  <c r="AA66" i="2" s="1"/>
  <c r="J66" i="2"/>
  <c r="AC66" i="2" s="1"/>
  <c r="AI65" i="2"/>
  <c r="AH65" i="2"/>
  <c r="AB65" i="2"/>
  <c r="K65" i="2"/>
  <c r="O65" i="2" s="1"/>
  <c r="AA65" i="2" s="1"/>
  <c r="J65" i="2"/>
  <c r="L65" i="2" s="1"/>
  <c r="AI64" i="2"/>
  <c r="AH64" i="2"/>
  <c r="O64" i="2"/>
  <c r="AA64" i="2" s="1"/>
  <c r="L64" i="2"/>
  <c r="K64" i="2"/>
  <c r="J64" i="2"/>
  <c r="AD64" i="2" s="1"/>
  <c r="AI63" i="2"/>
  <c r="AH63" i="2"/>
  <c r="AD63" i="2"/>
  <c r="AC63" i="2"/>
  <c r="AB63" i="2"/>
  <c r="Z63" i="2"/>
  <c r="O63" i="2"/>
  <c r="AA63" i="2" s="1"/>
  <c r="L63" i="2"/>
  <c r="K63" i="2"/>
  <c r="J63" i="2"/>
  <c r="AI62" i="2"/>
  <c r="AH62" i="2"/>
  <c r="K62" i="2"/>
  <c r="O62" i="2" s="1"/>
  <c r="AA62" i="2" s="1"/>
  <c r="J62" i="2"/>
  <c r="AD62" i="2" s="1"/>
  <c r="AI61" i="2"/>
  <c r="AH61" i="2"/>
  <c r="AD61" i="2"/>
  <c r="AB61" i="2"/>
  <c r="AA61" i="2"/>
  <c r="Z61" i="2"/>
  <c r="O61" i="2"/>
  <c r="K61" i="2"/>
  <c r="J61" i="2"/>
  <c r="L61" i="2" s="1"/>
  <c r="AI60" i="2"/>
  <c r="AH60" i="2"/>
  <c r="K60" i="2"/>
  <c r="O60" i="2" s="1"/>
  <c r="AA60" i="2" s="1"/>
  <c r="J60" i="2"/>
  <c r="AD60" i="2" s="1"/>
  <c r="AI59" i="2"/>
  <c r="AH59" i="2"/>
  <c r="AD59" i="2"/>
  <c r="AC59" i="2"/>
  <c r="AB59" i="2"/>
  <c r="K59" i="2"/>
  <c r="O59" i="2" s="1"/>
  <c r="AA59" i="2" s="1"/>
  <c r="J59" i="2"/>
  <c r="Z59" i="2" s="1"/>
  <c r="AI58" i="2"/>
  <c r="AH58" i="2"/>
  <c r="AD58" i="2"/>
  <c r="AB58" i="2"/>
  <c r="Z58" i="2"/>
  <c r="O58" i="2"/>
  <c r="AA58" i="2" s="1"/>
  <c r="L58" i="2"/>
  <c r="K58" i="2"/>
  <c r="J58" i="2"/>
  <c r="AC58" i="2" s="1"/>
  <c r="AI57" i="2"/>
  <c r="AH57" i="2"/>
  <c r="AD57" i="2"/>
  <c r="AC57" i="2"/>
  <c r="O57" i="2"/>
  <c r="AA57" i="2" s="1"/>
  <c r="K57" i="2"/>
  <c r="J57" i="2"/>
  <c r="AB57" i="2" s="1"/>
  <c r="AI56" i="2"/>
  <c r="AH56" i="2"/>
  <c r="AA56" i="2"/>
  <c r="Z56" i="2"/>
  <c r="O56" i="2"/>
  <c r="K56" i="2"/>
  <c r="J56" i="2"/>
  <c r="AD56" i="2" s="1"/>
  <c r="AI55" i="2"/>
  <c r="AH55" i="2"/>
  <c r="AB55" i="2"/>
  <c r="Z55" i="2"/>
  <c r="L55" i="2"/>
  <c r="K55" i="2"/>
  <c r="O55" i="2" s="1"/>
  <c r="AA55" i="2" s="1"/>
  <c r="J55" i="2"/>
  <c r="AD55" i="2" s="1"/>
  <c r="AI54" i="2"/>
  <c r="AH54" i="2"/>
  <c r="AD54" i="2"/>
  <c r="AC54" i="2"/>
  <c r="AB54" i="2"/>
  <c r="L54" i="2"/>
  <c r="K54" i="2"/>
  <c r="O54" i="2" s="1"/>
  <c r="AA54" i="2" s="1"/>
  <c r="J54" i="2"/>
  <c r="Z54" i="2" s="1"/>
  <c r="AI53" i="2"/>
  <c r="AH53" i="2"/>
  <c r="O53" i="2"/>
  <c r="AA53" i="2" s="1"/>
  <c r="K53" i="2"/>
  <c r="J53" i="2"/>
  <c r="AD53" i="2" s="1"/>
  <c r="AI52" i="2"/>
  <c r="AH52" i="2"/>
  <c r="AD52" i="2"/>
  <c r="AC52" i="2"/>
  <c r="AB52" i="2"/>
  <c r="Z52" i="2"/>
  <c r="O52" i="2"/>
  <c r="AA52" i="2" s="1"/>
  <c r="L52" i="2"/>
  <c r="K52" i="2"/>
  <c r="J52" i="2"/>
  <c r="AI51" i="2"/>
  <c r="AH51" i="2"/>
  <c r="K51" i="2"/>
  <c r="O51" i="2" s="1"/>
  <c r="AA51" i="2" s="1"/>
  <c r="J51" i="2"/>
  <c r="AD51" i="2" s="1"/>
  <c r="AI50" i="2"/>
  <c r="AH50" i="2"/>
  <c r="AC50" i="2"/>
  <c r="AB50" i="2"/>
  <c r="Z50" i="2"/>
  <c r="K50" i="2"/>
  <c r="O50" i="2" s="1"/>
  <c r="AA50" i="2" s="1"/>
  <c r="J50" i="2"/>
  <c r="L50" i="2" s="1"/>
  <c r="AI49" i="2"/>
  <c r="AH49" i="2"/>
  <c r="L49" i="2"/>
  <c r="K49" i="2"/>
  <c r="O49" i="2" s="1"/>
  <c r="AA49" i="2" s="1"/>
  <c r="J49" i="2"/>
  <c r="AD49" i="2" s="1"/>
  <c r="AI48" i="2"/>
  <c r="AH48" i="2"/>
  <c r="AD48" i="2"/>
  <c r="AC48" i="2"/>
  <c r="AB48" i="2"/>
  <c r="L48" i="2"/>
  <c r="K48" i="2"/>
  <c r="O48" i="2" s="1"/>
  <c r="AA48" i="2" s="1"/>
  <c r="J48" i="2"/>
  <c r="Z48" i="2" s="1"/>
  <c r="AI47" i="2"/>
  <c r="AH47" i="2"/>
  <c r="Z47" i="2"/>
  <c r="O47" i="2"/>
  <c r="AA47" i="2" s="1"/>
  <c r="L47" i="2"/>
  <c r="K47" i="2"/>
  <c r="J47" i="2"/>
  <c r="AD47" i="2" s="1"/>
  <c r="AI46" i="2"/>
  <c r="AH46" i="2"/>
  <c r="AD46" i="2"/>
  <c r="K46" i="2"/>
  <c r="O46" i="2" s="1"/>
  <c r="AA46" i="2" s="1"/>
  <c r="J46" i="2"/>
  <c r="AC46" i="2" s="1"/>
  <c r="AI45" i="2"/>
  <c r="AH45" i="2"/>
  <c r="AB45" i="2"/>
  <c r="K45" i="2"/>
  <c r="O45" i="2" s="1"/>
  <c r="AA45" i="2" s="1"/>
  <c r="J45" i="2"/>
  <c r="L45" i="2" s="1"/>
  <c r="AI44" i="2"/>
  <c r="AH44" i="2"/>
  <c r="O44" i="2"/>
  <c r="AA44" i="2" s="1"/>
  <c r="L44" i="2"/>
  <c r="K44" i="2"/>
  <c r="J44" i="2"/>
  <c r="AD44" i="2" s="1"/>
  <c r="AI43" i="2"/>
  <c r="AH43" i="2"/>
  <c r="AD43" i="2"/>
  <c r="AC43" i="2"/>
  <c r="AB43" i="2"/>
  <c r="Z43" i="2"/>
  <c r="O43" i="2"/>
  <c r="AA43" i="2" s="1"/>
  <c r="L43" i="2"/>
  <c r="K43" i="2"/>
  <c r="J43" i="2"/>
  <c r="AI42" i="2"/>
  <c r="AH42" i="2"/>
  <c r="K42" i="2"/>
  <c r="O42" i="2" s="1"/>
  <c r="AA42" i="2" s="1"/>
  <c r="J42" i="2"/>
  <c r="AD42" i="2" s="1"/>
  <c r="AI41" i="2"/>
  <c r="AH41" i="2"/>
  <c r="AD41" i="2"/>
  <c r="AB41" i="2"/>
  <c r="AA41" i="2"/>
  <c r="Z41" i="2"/>
  <c r="O41" i="2"/>
  <c r="K41" i="2"/>
  <c r="J41" i="2"/>
  <c r="L41" i="2" s="1"/>
  <c r="AI40" i="2"/>
  <c r="AH40" i="2"/>
  <c r="K40" i="2"/>
  <c r="O40" i="2" s="1"/>
  <c r="AA40" i="2" s="1"/>
  <c r="J40" i="2"/>
  <c r="AD40" i="2" s="1"/>
  <c r="AI39" i="2"/>
  <c r="AH39" i="2"/>
  <c r="AD39" i="2"/>
  <c r="AC39" i="2"/>
  <c r="AB39" i="2"/>
  <c r="K39" i="2"/>
  <c r="O39" i="2" s="1"/>
  <c r="AA39" i="2" s="1"/>
  <c r="J39" i="2"/>
  <c r="Z39" i="2" s="1"/>
  <c r="AI38" i="2"/>
  <c r="AH38" i="2"/>
  <c r="AD38" i="2"/>
  <c r="AB38" i="2"/>
  <c r="Z38" i="2"/>
  <c r="O38" i="2"/>
  <c r="AA38" i="2" s="1"/>
  <c r="L38" i="2"/>
  <c r="K38" i="2"/>
  <c r="J38" i="2"/>
  <c r="AC38" i="2" s="1"/>
  <c r="AI37" i="2"/>
  <c r="AH37" i="2"/>
  <c r="AD37" i="2"/>
  <c r="AC37" i="2"/>
  <c r="O37" i="2"/>
  <c r="AA37" i="2" s="1"/>
  <c r="K37" i="2"/>
  <c r="J37" i="2"/>
  <c r="AB37" i="2" s="1"/>
  <c r="AI36" i="2"/>
  <c r="AH36" i="2"/>
  <c r="AA36" i="2"/>
  <c r="Z36" i="2"/>
  <c r="O36" i="2"/>
  <c r="K36" i="2"/>
  <c r="J36" i="2"/>
  <c r="AD36" i="2" s="1"/>
  <c r="AI35" i="2"/>
  <c r="AH35" i="2"/>
  <c r="AB35" i="2"/>
  <c r="Z35" i="2"/>
  <c r="L35" i="2"/>
  <c r="K35" i="2"/>
  <c r="O35" i="2" s="1"/>
  <c r="AA35" i="2" s="1"/>
  <c r="J35" i="2"/>
  <c r="AD35" i="2" s="1"/>
  <c r="AI34" i="2"/>
  <c r="AH34" i="2"/>
  <c r="AD34" i="2"/>
  <c r="AC34" i="2"/>
  <c r="AB34" i="2"/>
  <c r="L34" i="2"/>
  <c r="K34" i="2"/>
  <c r="O34" i="2" s="1"/>
  <c r="AA34" i="2" s="1"/>
  <c r="J34" i="2"/>
  <c r="Z34" i="2" s="1"/>
  <c r="AI33" i="2"/>
  <c r="AH33" i="2"/>
  <c r="AC33" i="2"/>
  <c r="O33" i="2"/>
  <c r="AA33" i="2" s="1"/>
  <c r="K33" i="2"/>
  <c r="J33" i="2"/>
  <c r="AD33" i="2" s="1"/>
  <c r="AI32" i="2"/>
  <c r="AH32" i="2"/>
  <c r="AD32" i="2"/>
  <c r="AC32" i="2"/>
  <c r="AB32" i="2"/>
  <c r="Z32" i="2"/>
  <c r="O32" i="2"/>
  <c r="AA32" i="2" s="1"/>
  <c r="L32" i="2"/>
  <c r="K32" i="2"/>
  <c r="J32" i="2"/>
  <c r="AI31" i="2"/>
  <c r="AH31" i="2"/>
  <c r="K31" i="2"/>
  <c r="O31" i="2" s="1"/>
  <c r="AA31" i="2" s="1"/>
  <c r="J31" i="2"/>
  <c r="D57" i="1" s="1"/>
  <c r="AI30" i="2"/>
  <c r="AH30" i="2"/>
  <c r="K30" i="2"/>
  <c r="O30" i="2" s="1"/>
  <c r="AA30" i="2" s="1"/>
  <c r="J30" i="2"/>
  <c r="AI29" i="2"/>
  <c r="AH29" i="2"/>
  <c r="L29" i="2"/>
  <c r="K29" i="2"/>
  <c r="O29" i="2" s="1"/>
  <c r="AA29" i="2" s="1"/>
  <c r="J29" i="2"/>
  <c r="AI28" i="2"/>
  <c r="AH28" i="2"/>
  <c r="O28" i="2"/>
  <c r="AA28" i="2" s="1"/>
  <c r="K28" i="2"/>
  <c r="J28" i="2"/>
  <c r="AI27" i="2"/>
  <c r="AH27" i="2"/>
  <c r="K27" i="2"/>
  <c r="O27" i="2" s="1"/>
  <c r="AA27" i="2" s="1"/>
  <c r="J27" i="2"/>
  <c r="D43" i="1" s="1"/>
  <c r="AI26" i="2"/>
  <c r="AH26" i="2"/>
  <c r="O26" i="2"/>
  <c r="AA26" i="2" s="1"/>
  <c r="K26" i="2"/>
  <c r="J26" i="2"/>
  <c r="AI25" i="2"/>
  <c r="AH25" i="2"/>
  <c r="AB25" i="2"/>
  <c r="Z25" i="2"/>
  <c r="AC25" i="2" s="1"/>
  <c r="O25" i="2"/>
  <c r="AA25" i="2" s="1"/>
  <c r="L25" i="2"/>
  <c r="K25" i="2"/>
  <c r="J25" i="2"/>
  <c r="AI24" i="2"/>
  <c r="AH24" i="2"/>
  <c r="AA24" i="2"/>
  <c r="Z24" i="2"/>
  <c r="O24" i="2"/>
  <c r="L24" i="2"/>
  <c r="K24" i="2"/>
  <c r="J24" i="2"/>
  <c r="AI23" i="2"/>
  <c r="AH23" i="2"/>
  <c r="AB23" i="2"/>
  <c r="Z23" i="2"/>
  <c r="K23" i="2"/>
  <c r="O23" i="2" s="1"/>
  <c r="AA23" i="2" s="1"/>
  <c r="J23" i="2"/>
  <c r="L23" i="2" s="1"/>
  <c r="AI22" i="2"/>
  <c r="AH22" i="2"/>
  <c r="AB22" i="2"/>
  <c r="Z22" i="2"/>
  <c r="K22" i="2"/>
  <c r="O22" i="2" s="1"/>
  <c r="AA22" i="2" s="1"/>
  <c r="J22" i="2"/>
  <c r="AI21" i="2"/>
  <c r="AH21" i="2"/>
  <c r="AB21" i="2"/>
  <c r="K21" i="2"/>
  <c r="O21" i="2" s="1"/>
  <c r="AA21" i="2" s="1"/>
  <c r="J21" i="2"/>
  <c r="Z21" i="2" s="1"/>
  <c r="AC21" i="2" s="1"/>
  <c r="AI20" i="2"/>
  <c r="AH20" i="2"/>
  <c r="K20" i="2"/>
  <c r="O20" i="2" s="1"/>
  <c r="AA20" i="2" s="1"/>
  <c r="J20" i="2"/>
  <c r="AI19" i="2"/>
  <c r="AH19" i="2"/>
  <c r="O19" i="2"/>
  <c r="AA19" i="2" s="1"/>
  <c r="K19" i="2"/>
  <c r="J19" i="2"/>
  <c r="AI18" i="2"/>
  <c r="AH18" i="2"/>
  <c r="O18" i="2"/>
  <c r="AA18" i="2" s="1"/>
  <c r="K18" i="2"/>
  <c r="J18" i="2"/>
  <c r="AI17" i="2"/>
  <c r="AH17" i="2"/>
  <c r="Z17" i="2"/>
  <c r="L17" i="2"/>
  <c r="K17" i="2"/>
  <c r="O17" i="2" s="1"/>
  <c r="AA17" i="2" s="1"/>
  <c r="J17" i="2"/>
  <c r="AI16" i="2"/>
  <c r="AH16" i="2"/>
  <c r="K16" i="2"/>
  <c r="O16" i="2" s="1"/>
  <c r="AA16" i="2" s="1"/>
  <c r="J16" i="2"/>
  <c r="AI15" i="2"/>
  <c r="AH15" i="2"/>
  <c r="K15" i="2"/>
  <c r="O15" i="2" s="1"/>
  <c r="AA15" i="2" s="1"/>
  <c r="J15" i="2"/>
  <c r="AI14" i="2"/>
  <c r="AH14" i="2"/>
  <c r="AB14" i="2"/>
  <c r="Z14" i="2"/>
  <c r="AC14" i="2" s="1"/>
  <c r="O14" i="2"/>
  <c r="AA14" i="2" s="1"/>
  <c r="L14" i="2"/>
  <c r="K14" i="2"/>
  <c r="J14" i="2"/>
  <c r="AI13" i="2"/>
  <c r="AH13" i="2"/>
  <c r="AB13" i="2"/>
  <c r="Z13" i="2"/>
  <c r="O13" i="2"/>
  <c r="AA13" i="2" s="1"/>
  <c r="L13" i="2"/>
  <c r="K13" i="2"/>
  <c r="J13" i="2"/>
  <c r="AC13" i="2" s="1"/>
  <c r="AD13" i="2" s="1"/>
  <c r="AI12" i="2"/>
  <c r="AH12" i="2"/>
  <c r="AB12" i="2"/>
  <c r="Z12" i="2"/>
  <c r="K12" i="2"/>
  <c r="O12" i="2" s="1"/>
  <c r="AA12" i="2" s="1"/>
  <c r="J12" i="2"/>
  <c r="L12" i="2" s="1"/>
  <c r="AI11" i="2"/>
  <c r="AH11" i="2"/>
  <c r="AB11" i="2"/>
  <c r="Z11" i="2"/>
  <c r="K11" i="2"/>
  <c r="O11" i="2" s="1"/>
  <c r="AA11" i="2" s="1"/>
  <c r="J11" i="2"/>
  <c r="L11" i="2" s="1"/>
  <c r="AI10" i="2"/>
  <c r="AH10" i="2"/>
  <c r="AB10" i="2"/>
  <c r="K10" i="2"/>
  <c r="O10" i="2" s="1"/>
  <c r="AA10" i="2" s="1"/>
  <c r="J10" i="2"/>
  <c r="Z10" i="2" s="1"/>
  <c r="AI9" i="2"/>
  <c r="AH9" i="2"/>
  <c r="AB9" i="2"/>
  <c r="K9" i="2"/>
  <c r="O9" i="2" s="1"/>
  <c r="AA9" i="2" s="1"/>
  <c r="J9" i="2"/>
  <c r="AI8" i="2"/>
  <c r="AH8" i="2"/>
  <c r="K8" i="2"/>
  <c r="O8" i="2" s="1"/>
  <c r="AA8" i="2" s="1"/>
  <c r="J8" i="2"/>
  <c r="AI7" i="2"/>
  <c r="AH7" i="2"/>
  <c r="K7" i="2"/>
  <c r="O7" i="2" s="1"/>
  <c r="AA7" i="2" s="1"/>
  <c r="J7" i="2"/>
  <c r="AI6" i="2"/>
  <c r="AI86" i="2" s="1"/>
  <c r="AH6" i="2"/>
  <c r="O6" i="2"/>
  <c r="AA6" i="2" s="1"/>
  <c r="K6" i="2"/>
  <c r="J6" i="2"/>
  <c r="D3" i="2"/>
  <c r="E1" i="2"/>
  <c r="C57" i="1"/>
  <c r="C56" i="1"/>
  <c r="C55" i="1"/>
  <c r="C54" i="1"/>
  <c r="D53" i="1"/>
  <c r="C53" i="1"/>
  <c r="C58" i="1" s="1"/>
  <c r="D48" i="1"/>
  <c r="C48" i="1"/>
  <c r="D47" i="1"/>
  <c r="C47" i="1"/>
  <c r="C46" i="1"/>
  <c r="C45" i="1"/>
  <c r="D44" i="1"/>
  <c r="C44" i="1"/>
  <c r="C43" i="1"/>
  <c r="D42" i="1"/>
  <c r="C42" i="1"/>
  <c r="D41" i="1"/>
  <c r="C41" i="1"/>
  <c r="D40" i="1"/>
  <c r="C40" i="1"/>
  <c r="D39" i="1"/>
  <c r="C39" i="1"/>
  <c r="D38" i="1"/>
  <c r="C38" i="1"/>
  <c r="D37" i="1"/>
  <c r="C37" i="1"/>
  <c r="D36" i="1"/>
  <c r="C36" i="1"/>
  <c r="D35" i="1"/>
  <c r="C35" i="1"/>
  <c r="C49" i="1" s="1"/>
  <c r="D30" i="1"/>
  <c r="C30" i="1"/>
  <c r="F29" i="1"/>
  <c r="D29" i="1"/>
  <c r="C29" i="1"/>
  <c r="D28" i="1"/>
  <c r="C28" i="1"/>
  <c r="C27" i="1"/>
  <c r="D26" i="1"/>
  <c r="C26" i="1"/>
  <c r="D25" i="1"/>
  <c r="C25" i="1"/>
  <c r="C31" i="1" s="1"/>
  <c r="J19" i="1"/>
  <c r="F19" i="1"/>
  <c r="J15" i="1"/>
  <c r="H15" i="1"/>
  <c r="D15" i="1"/>
  <c r="B15" i="1"/>
  <c r="H10" i="1"/>
  <c r="H19" i="1" l="1"/>
  <c r="AC10" i="2"/>
  <c r="D31" i="1"/>
  <c r="E30" i="1" s="1"/>
  <c r="AD17" i="2"/>
  <c r="F39" i="1"/>
  <c r="AA86" i="2"/>
  <c r="AD22" i="2"/>
  <c r="AD25" i="2"/>
  <c r="AD7" i="2"/>
  <c r="AC11" i="2"/>
  <c r="AD14" i="2"/>
  <c r="L16" i="2"/>
  <c r="L36" i="2"/>
  <c r="AC41" i="2"/>
  <c r="AD50" i="2"/>
  <c r="L56" i="2"/>
  <c r="AC61" i="2"/>
  <c r="AD70" i="2"/>
  <c r="L76" i="2"/>
  <c r="AC81" i="2"/>
  <c r="G18" i="3"/>
  <c r="D45" i="1"/>
  <c r="D49" i="1" s="1"/>
  <c r="L7" i="2"/>
  <c r="AC12" i="2"/>
  <c r="AD21" i="2"/>
  <c r="L27" i="2"/>
  <c r="Z45" i="2"/>
  <c r="Z65" i="2"/>
  <c r="Z85" i="2"/>
  <c r="C21" i="3"/>
  <c r="D27" i="1"/>
  <c r="Z16" i="2"/>
  <c r="L18" i="2"/>
  <c r="AC23" i="2"/>
  <c r="AD23" i="2" s="1"/>
  <c r="Z7" i="2"/>
  <c r="L9" i="2"/>
  <c r="G17" i="3" s="1"/>
  <c r="Z27" i="2"/>
  <c r="C22" i="3"/>
  <c r="AB16" i="2"/>
  <c r="AC16" i="2" s="1"/>
  <c r="Z18" i="2"/>
  <c r="AC18" i="2" s="1"/>
  <c r="L20" i="2"/>
  <c r="AB36" i="2"/>
  <c r="L40" i="2"/>
  <c r="AC45" i="2"/>
  <c r="AB56" i="2"/>
  <c r="L60" i="2"/>
  <c r="AC65" i="2"/>
  <c r="AB76" i="2"/>
  <c r="L80" i="2"/>
  <c r="AC85" i="2"/>
  <c r="F6" i="3"/>
  <c r="G22" i="3"/>
  <c r="D46" i="1"/>
  <c r="AB27" i="2"/>
  <c r="Z29" i="2"/>
  <c r="AC29" i="2" s="1"/>
  <c r="AD29" i="2" s="1"/>
  <c r="L31" i="2"/>
  <c r="AC36" i="2"/>
  <c r="AD45" i="2"/>
  <c r="AB47" i="2"/>
  <c r="Z49" i="2"/>
  <c r="L51" i="2"/>
  <c r="AC56" i="2"/>
  <c r="AD65" i="2"/>
  <c r="AB67" i="2"/>
  <c r="Z69" i="2"/>
  <c r="L71" i="2"/>
  <c r="AC76" i="2"/>
  <c r="AD85" i="2"/>
  <c r="C9" i="3"/>
  <c r="C23" i="3"/>
  <c r="D54" i="1"/>
  <c r="AB7" i="2"/>
  <c r="Z9" i="2"/>
  <c r="AC9" i="2" s="1"/>
  <c r="AD9" i="2" s="1"/>
  <c r="G32" i="3" s="1"/>
  <c r="F3" i="2"/>
  <c r="AC7" i="2"/>
  <c r="F46" i="1" s="1"/>
  <c r="AB18" i="2"/>
  <c r="Z20" i="2"/>
  <c r="L22" i="2"/>
  <c r="AC27" i="2"/>
  <c r="AD27" i="2" s="1"/>
  <c r="Z40" i="2"/>
  <c r="L42" i="2"/>
  <c r="AC47" i="2"/>
  <c r="Z60" i="2"/>
  <c r="L62" i="2"/>
  <c r="AC67" i="2"/>
  <c r="Z80" i="2"/>
  <c r="L82" i="2"/>
  <c r="G9" i="3"/>
  <c r="G23" i="3"/>
  <c r="AB29" i="2"/>
  <c r="Z31" i="2"/>
  <c r="AC31" i="2" s="1"/>
  <c r="L33" i="2"/>
  <c r="AB49" i="2"/>
  <c r="Z51" i="2"/>
  <c r="L53" i="2"/>
  <c r="AB69" i="2"/>
  <c r="Z71" i="2"/>
  <c r="L73" i="2"/>
  <c r="C10" i="3"/>
  <c r="C26" i="3"/>
  <c r="AB20" i="2"/>
  <c r="AB40" i="2"/>
  <c r="Z42" i="2"/>
  <c r="AC49" i="2"/>
  <c r="AB60" i="2"/>
  <c r="Z62" i="2"/>
  <c r="AC69" i="2"/>
  <c r="AB80" i="2"/>
  <c r="Z82" i="2"/>
  <c r="J86" i="2"/>
  <c r="G10" i="3"/>
  <c r="G26" i="3"/>
  <c r="D55" i="1"/>
  <c r="D58" i="1" s="1"/>
  <c r="L15" i="2"/>
  <c r="AC20" i="2"/>
  <c r="F41" i="1" s="1"/>
  <c r="AB31" i="2"/>
  <c r="Z33" i="2"/>
  <c r="AC40" i="2"/>
  <c r="AB51" i="2"/>
  <c r="Z53" i="2"/>
  <c r="AC60" i="2"/>
  <c r="AB71" i="2"/>
  <c r="Z73" i="2"/>
  <c r="AC80" i="2"/>
  <c r="C11" i="3"/>
  <c r="C27" i="3"/>
  <c r="L6" i="2"/>
  <c r="L26" i="2"/>
  <c r="AB42" i="2"/>
  <c r="Z44" i="2"/>
  <c r="L46" i="2"/>
  <c r="AC51" i="2"/>
  <c r="AB62" i="2"/>
  <c r="Z64" i="2"/>
  <c r="L66" i="2"/>
  <c r="AC71" i="2"/>
  <c r="AB82" i="2"/>
  <c r="Z84" i="2"/>
  <c r="G11" i="3"/>
  <c r="G27" i="3"/>
  <c r="Z15" i="2"/>
  <c r="AC22" i="2"/>
  <c r="F48" i="1" s="1"/>
  <c r="AB33" i="2"/>
  <c r="L37" i="2"/>
  <c r="AC42" i="2"/>
  <c r="AB53" i="2"/>
  <c r="L57" i="2"/>
  <c r="AC62" i="2"/>
  <c r="AB73" i="2"/>
  <c r="L77" i="2"/>
  <c r="AC82" i="2"/>
  <c r="C12" i="3"/>
  <c r="C28" i="3"/>
  <c r="Z6" i="2"/>
  <c r="L8" i="2"/>
  <c r="AB24" i="2"/>
  <c r="AC24" i="2" s="1"/>
  <c r="Z26" i="2"/>
  <c r="AC26" i="2" s="1"/>
  <c r="AD26" i="2" s="1"/>
  <c r="L28" i="2"/>
  <c r="AB44" i="2"/>
  <c r="Z46" i="2"/>
  <c r="AC53" i="2"/>
  <c r="AB64" i="2"/>
  <c r="Z66" i="2"/>
  <c r="AC73" i="2"/>
  <c r="AB84" i="2"/>
  <c r="O86" i="2"/>
  <c r="G12" i="3"/>
  <c r="G28" i="3"/>
  <c r="L19" i="2"/>
  <c r="Z37" i="2"/>
  <c r="L39" i="2"/>
  <c r="AC44" i="2"/>
  <c r="Z57" i="2"/>
  <c r="L59" i="2"/>
  <c r="AC64" i="2"/>
  <c r="Z77" i="2"/>
  <c r="L79" i="2"/>
  <c r="AC84" i="2"/>
  <c r="C15" i="3"/>
  <c r="C31" i="3"/>
  <c r="D56" i="1"/>
  <c r="AB15" i="2"/>
  <c r="AB6" i="2"/>
  <c r="Z8" i="2"/>
  <c r="L10" i="2"/>
  <c r="AC15" i="2"/>
  <c r="F42" i="1" s="1"/>
  <c r="AB26" i="2"/>
  <c r="Z28" i="2"/>
  <c r="L30" i="2"/>
  <c r="AC35" i="2"/>
  <c r="AB46" i="2"/>
  <c r="AC55" i="2"/>
  <c r="AB66" i="2"/>
  <c r="AC75" i="2"/>
  <c r="G15" i="3"/>
  <c r="G31" i="3"/>
  <c r="Z79" i="2"/>
  <c r="L81" i="2"/>
  <c r="C16" i="3"/>
  <c r="C32" i="3"/>
  <c r="AB17" i="2"/>
  <c r="Z19" i="2"/>
  <c r="AC19" i="2" s="1"/>
  <c r="AD19" i="2" s="1"/>
  <c r="L21" i="2"/>
  <c r="AB8" i="2"/>
  <c r="AC8" i="2" s="1"/>
  <c r="AC17" i="2"/>
  <c r="AB28" i="2"/>
  <c r="Z30" i="2"/>
  <c r="AC30" i="2" s="1"/>
  <c r="G16" i="3"/>
  <c r="AB19" i="2"/>
  <c r="AC28" i="2"/>
  <c r="AD28" i="2" s="1"/>
  <c r="C17" i="3"/>
  <c r="C33" i="3"/>
  <c r="AB30" i="2"/>
  <c r="G33" i="3"/>
  <c r="C18" i="3"/>
  <c r="F30" i="1" l="1"/>
  <c r="AD31" i="2"/>
  <c r="F57" i="1"/>
  <c r="AD30" i="2"/>
  <c r="F36" i="1"/>
  <c r="AD18" i="2"/>
  <c r="F53" i="1"/>
  <c r="AD24" i="2"/>
  <c r="F28" i="1"/>
  <c r="AD8" i="2"/>
  <c r="F54" i="1"/>
  <c r="F45" i="1"/>
  <c r="F37" i="1"/>
  <c r="F27" i="1"/>
  <c r="AD16" i="2"/>
  <c r="E53" i="1"/>
  <c r="E57" i="1"/>
  <c r="E47" i="1"/>
  <c r="E38" i="1"/>
  <c r="E37" i="1"/>
  <c r="E36" i="1"/>
  <c r="E48" i="1"/>
  <c r="E42" i="1"/>
  <c r="E35" i="1"/>
  <c r="E39" i="1"/>
  <c r="E43" i="1"/>
  <c r="E41" i="1"/>
  <c r="E40" i="1"/>
  <c r="E44" i="1"/>
  <c r="AD11" i="2"/>
  <c r="F44" i="1"/>
  <c r="E29" i="1"/>
  <c r="F43" i="1"/>
  <c r="AD12" i="2"/>
  <c r="G21" i="3"/>
  <c r="E45" i="1"/>
  <c r="E27" i="1"/>
  <c r="Z86" i="2"/>
  <c r="E46" i="1"/>
  <c r="L86" i="2"/>
  <c r="F15" i="1"/>
  <c r="E26" i="1"/>
  <c r="AD20" i="2"/>
  <c r="F35" i="1"/>
  <c r="F26" i="1"/>
  <c r="F55" i="1"/>
  <c r="F40" i="1"/>
  <c r="F38" i="1"/>
  <c r="AD10" i="2"/>
  <c r="E54" i="1"/>
  <c r="E25" i="1"/>
  <c r="E56" i="1"/>
  <c r="E55" i="1"/>
  <c r="AC6" i="2"/>
  <c r="E28" i="1"/>
  <c r="AB86" i="2"/>
  <c r="AD15" i="2"/>
  <c r="E58" i="1" l="1"/>
  <c r="E49" i="1"/>
  <c r="E31" i="1"/>
  <c r="AC86" i="2"/>
  <c r="F25" i="1"/>
  <c r="F31" i="1" s="1"/>
  <c r="F56" i="1"/>
  <c r="F58" i="1" s="1"/>
  <c r="F47" i="1"/>
  <c r="F49" i="1" s="1"/>
  <c r="D19" i="1"/>
  <c r="J3" i="2"/>
  <c r="B19" i="1"/>
  <c r="AD86" i="2"/>
  <c r="AD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J5" authorId="0" shapeId="0" xr:uid="{00000000-0006-0000-0100-000001000000}">
      <text>
        <r>
          <rPr>
            <sz val="10"/>
            <rFont val="Arial"/>
            <family val="2"/>
          </rPr>
          <t>Fläche = Länge × Breite (automatisch gerundet auf 2 Nachkommastellen).</t>
        </r>
      </text>
    </comment>
    <comment ref="O5" authorId="0" shapeId="0" xr:uid="{00000000-0006-0000-0100-000002000000}">
      <text>
        <r>
          <rPr>
            <sz val="10"/>
            <rFont val="Arial"/>
            <family val="2"/>
          </rPr>
          <t>Wandfläche netto = Umfang × Höhe abzüglich der Öffnungen.
Annahme der Vorlage: 2,00 m² je Tür und 1,80 m² je Fenster.</t>
        </r>
      </text>
    </comment>
    <comment ref="Z5" authorId="0" shapeId="0" xr:uid="{00000000-0006-0000-0100-000003000000}">
      <text>
        <r>
          <rPr>
            <sz val="10"/>
            <rFont val="Arial"/>
            <family val="2"/>
          </rPr>
          <t>Fläche × Einheitspreis des gewählten Bodenbelags (Blatt Stammdaten).</t>
        </r>
      </text>
    </comment>
    <comment ref="AA5" authorId="0" shapeId="0" xr:uid="{00000000-0006-0000-0100-000004000000}">
      <text>
        <r>
          <rPr>
            <sz val="10"/>
            <rFont val="Arial"/>
            <family val="2"/>
          </rPr>
          <t>Wandfläche netto × Einheitspreis des gewählten Wandbelags (Blatt Stammdaten).</t>
        </r>
      </text>
    </comment>
    <comment ref="AB5" authorId="0" shapeId="0" xr:uid="{00000000-0006-0000-0100-000005000000}">
      <text>
        <r>
          <rPr>
            <sz val="10"/>
            <rFont val="Arial"/>
            <family val="2"/>
          </rPr>
          <t>Fläche × Einheitspreis der gewählten Deckenausbildung (Blatt Stammdaten).</t>
        </r>
      </text>
    </comment>
    <comment ref="AH5" authorId="0" shapeId="0" xr:uid="{00000000-0006-0000-0100-000006000000}">
      <text>
        <r>
          <rPr>
            <sz val="10"/>
            <rFont val="Arial"/>
            <family val="2"/>
          </rPr>
          <t>Ampel aus Status und Fertigstellungstermin:
Abgenommen → Abgeschlossen · Termin überschritten → Überfällig ·
Termin in ≤ 30 Tagen → Fällig ≤ 30 Tage.</t>
        </r>
      </text>
    </comment>
    <comment ref="AI5" authorId="0" shapeId="0" xr:uid="{00000000-0006-0000-0100-000007000000}">
      <text>
        <r>
          <rPr>
            <sz val="10"/>
            <rFont val="Arial"/>
            <family val="2"/>
          </rPr>
          <t>Anteil der 14 planungsrelevanten Pflichtfelder, die je Raum ausgefüllt sind.</t>
        </r>
      </text>
    </comment>
  </commentList>
</comments>
</file>

<file path=xl/sharedStrings.xml><?xml version="1.0" encoding="utf-8"?>
<sst xmlns="http://schemas.openxmlformats.org/spreadsheetml/2006/main" count="728" uniqueCount="319">
  <si>
    <t>RAUMBUCH</t>
  </si>
  <si>
    <t>VORLAGE · AUSGABE 2026</t>
  </si>
  <si>
    <t>Raumdokumentation · Ausbau und Oberflächen · Flächen-, Mengen- und Kostenübersicht</t>
  </si>
  <si>
    <t>01 · PROJEKTDATEN   ·   frei überschreibbare Kopfdaten der Vorlage</t>
  </si>
  <si>
    <t>Projekt-Nr.</t>
  </si>
  <si>
    <t>2026-0417</t>
  </si>
  <si>
    <t>Bauherr / AG</t>
  </si>
  <si>
    <t>Musterbauherr GmbH</t>
  </si>
  <si>
    <t>Projektbezeichnung</t>
  </si>
  <si>
    <t>Musterprojekt – Verwaltungsgebäude</t>
  </si>
  <si>
    <t>Planungsbüro</t>
  </si>
  <si>
    <t>Planungsbüro Muster, Musterstadt</t>
  </si>
  <si>
    <t>Objekt / Anschrift</t>
  </si>
  <si>
    <t>Musterstraße 12, 12345 Musterstadt</t>
  </si>
  <si>
    <t>Bearbeiter</t>
  </si>
  <si>
    <t>M. Sobotta</t>
  </si>
  <si>
    <t>Bauabschnitt</t>
  </si>
  <si>
    <t>BA 2 – Innenausbau</t>
  </si>
  <si>
    <t>Stand</t>
  </si>
  <si>
    <t>Gebäude im Umgriff</t>
  </si>
  <si>
    <t>Haus Nord, Haus Süd, Haus West</t>
  </si>
  <si>
    <t>Version</t>
  </si>
  <si>
    <t>V 1.0</t>
  </si>
  <si>
    <t>02 · KENNZAHLEN   ·   automatisch aus dem Blatt „Raumbuch“ berechnet</t>
  </si>
  <si>
    <t>Erfasste Räume</t>
  </si>
  <si>
    <t>Gesamtfläche</t>
  </si>
  <si>
    <t>Umbauter Raum</t>
  </si>
  <si>
    <t>Ø Raumfläche</t>
  </si>
  <si>
    <t>Arbeitsplätze</t>
  </si>
  <si>
    <t>Datensätze im Raumbuch</t>
  </si>
  <si>
    <t>Summe Grundflächen in m²</t>
  </si>
  <si>
    <t>Summe Volumen in m³</t>
  </si>
  <si>
    <t>Mittelwert in m²</t>
  </si>
  <si>
    <t>Summe aller Räume</t>
  </si>
  <si>
    <t>Ausbaukosten gesamt</t>
  </si>
  <si>
    <t>Ø Kosten je m²</t>
  </si>
  <si>
    <t>Räume abgenommen</t>
  </si>
  <si>
    <t>Überfällige Termine</t>
  </si>
  <si>
    <t>Ø Datenvollständigkeit</t>
  </si>
  <si>
    <t>Boden + Wand + Decke</t>
  </si>
  <si>
    <t>bezogen auf Grundfläche</t>
  </si>
  <si>
    <t>Status „Abgenommen“</t>
  </si>
  <si>
    <t>Termin überschritten</t>
  </si>
  <si>
    <t>ausgefüllte Pflichtfelder</t>
  </si>
  <si>
    <t>03 · FLÄCHEN UND KOSTEN JE GESCHOSS</t>
  </si>
  <si>
    <t>Geschoss</t>
  </si>
  <si>
    <t>Räume</t>
  </si>
  <si>
    <t>Fläche (m²)</t>
  </si>
  <si>
    <t>Anteil</t>
  </si>
  <si>
    <t>Kosten (€)</t>
  </si>
  <si>
    <t>UG</t>
  </si>
  <si>
    <t>EG</t>
  </si>
  <si>
    <t>1. OG</t>
  </si>
  <si>
    <t>2. OG</t>
  </si>
  <si>
    <t>3. OG</t>
  </si>
  <si>
    <t>DG</t>
  </si>
  <si>
    <t>Gesamt</t>
  </si>
  <si>
    <t>04 · AUSWERTUNG NACH NUTZUNGSART</t>
  </si>
  <si>
    <t>Nutzungsart</t>
  </si>
  <si>
    <t>Büro Einzel</t>
  </si>
  <si>
    <t>Büro Gruppe</t>
  </si>
  <si>
    <t>Großraumbüro</t>
  </si>
  <si>
    <t>Besprechung</t>
  </si>
  <si>
    <t>Schulung</t>
  </si>
  <si>
    <t>Empfang</t>
  </si>
  <si>
    <t>Flur/Verkehr</t>
  </si>
  <si>
    <t>Treppenhaus</t>
  </si>
  <si>
    <t>Sanitär</t>
  </si>
  <si>
    <t>Teeküche/Sozial</t>
  </si>
  <si>
    <t>Lager</t>
  </si>
  <si>
    <t>Archiv</t>
  </si>
  <si>
    <t>Technik</t>
  </si>
  <si>
    <t>Serverraum</t>
  </si>
  <si>
    <t>05 · PROJEKTSTATUS</t>
  </si>
  <si>
    <t>Status</t>
  </si>
  <si>
    <t>In Planung</t>
  </si>
  <si>
    <t>Freigegeben</t>
  </si>
  <si>
    <t>In Ausführung</t>
  </si>
  <si>
    <t>Abgenommen</t>
  </si>
  <si>
    <t>Zurückgestellt</t>
  </si>
  <si>
    <t>06 · KURZANLEITUNG UND LEGENDE</t>
  </si>
  <si>
    <t>1</t>
  </si>
  <si>
    <t>Projektdaten oben eintragen – sie erscheinen automatisch im Kopf des Blattes „Raumbuch“.</t>
  </si>
  <si>
    <t>2</t>
  </si>
  <si>
    <t>Im Blatt „Stammdaten“ die Auswahllisten und die Einheitspreise an das eigene Projekt anpassen.</t>
  </si>
  <si>
    <t>3</t>
  </si>
  <si>
    <t>Im Blatt „Raumbuch“ je Zeile einen Raum erfassen: weiße Felder frei eingeben, getönte Felder über die Dropdown-Pfeile auswählen.</t>
  </si>
  <si>
    <t>4</t>
  </si>
  <si>
    <t>Fläche, Umfang, Volumen, Wandfläche, Kosten, Terminstatus und Vollständigkeit berechnen sich selbst – graue Spalten nicht überschreiben.</t>
  </si>
  <si>
    <t>5</t>
  </si>
  <si>
    <t>Über den Autofilter in Zeile 5 filtern; die Leiste „Filterauswahl“ zeigt Anzahl, Fläche und Kosten der sichtbaren Zeilen.</t>
  </si>
  <si>
    <t>6</t>
  </si>
  <si>
    <t>Im Blatt „Raumdatenblatt“ oben eine Raum-Nr. wählen – das druckfertige Einzelblatt füllt sich automatisch.</t>
  </si>
  <si>
    <t>7</t>
  </si>
  <si>
    <t>Weitere Räume unterhalb der letzten Zeile ergänzen: Formeln sind bis Zeile 85 vorbereitet und lassen sich einfach nach unten kopieren.</t>
  </si>
  <si>
    <t>Legende der Zellfarben</t>
  </si>
  <si>
    <t>Eingabefeld – frei ausfüllen</t>
  </si>
  <si>
    <t>Auswahlfeld – Dropdown-Liste</t>
  </si>
  <si>
    <t>Berechnetes Feld – automatisch</t>
  </si>
  <si>
    <t>Pflichtfeld fehlt – bitte ergänzen</t>
  </si>
  <si>
    <t>Kopf- und Akzentflächen</t>
  </si>
  <si>
    <t>Hinweise zur Berechnung:  Wandfläche netto = Umfang × lichte Höhe abzüglich 2,00 m² je Tür und 1,80 m² je Fenster.  Die Ausbaukosten sind Richtwerte auf Basis der Einheitspreise im Blatt „Stammdaten“ (netto, ohne Nebenkosten, Baustelleneinrichtung und Mehrwertsteuer) und ersetzen kein Angebot.  Alle Beispielwerte dienen ausschließlich der Veranschaulichung.</t>
  </si>
  <si>
    <t>Vorlage · Ausgabe 2026</t>
  </si>
  <si>
    <t>Erfassungsblatt je Raum   ·   weiße Felder = freie Eingabe   ·   getönte Felder = Auswahlliste   ·   graue Felder = automatische Berechnung (nicht überschreiben)</t>
  </si>
  <si>
    <t>FILTERAUSWAHL</t>
  </si>
  <si>
    <t>Räume:</t>
  </si>
  <si>
    <t>Fläche (m²):</t>
  </si>
  <si>
    <t>Ausbaukosten (€):</t>
  </si>
  <si>
    <t>Die Werte berücksichtigen nur die aktuell eingeblendeten (gefilterten) Zeilen.</t>
  </si>
  <si>
    <t>IDENTIFIKATION</t>
  </si>
  <si>
    <t>GEOMETRIE &amp; AUFMASS</t>
  </si>
  <si>
    <t>AUSBAU / OBERFLÄCHEN</t>
  </si>
  <si>
    <t>TECHNISCHE AUSSTATTUNG</t>
  </si>
  <si>
    <t>MASSNAHME &amp; KOSTEN</t>
  </si>
  <si>
    <t>STATUS &amp; DOKUMENTATION</t>
  </si>
  <si>
    <t>Raum-Nr.</t>
  </si>
  <si>
    <t>Gebäude</t>
  </si>
  <si>
    <t>Raumbezeichnung</t>
  </si>
  <si>
    <t>Nutzungs-
einheit</t>
  </si>
  <si>
    <t>Länge
(m)</t>
  </si>
  <si>
    <t>Breite
(m)</t>
  </si>
  <si>
    <t>Höhe
(m)</t>
  </si>
  <si>
    <t>Fläche
(m²)</t>
  </si>
  <si>
    <t>Umfang
(m)</t>
  </si>
  <si>
    <t>Volumen
(m³)</t>
  </si>
  <si>
    <t>Türen
(Anz.)</t>
  </si>
  <si>
    <t>Fenster
(Anz.)</t>
  </si>
  <si>
    <t>Wandfläche
netto (m²)</t>
  </si>
  <si>
    <t>Bodenbelag</t>
  </si>
  <si>
    <t>Wandbelag /
Oberfläche</t>
  </si>
  <si>
    <t>Deckenausbildung</t>
  </si>
  <si>
    <t>Beleuchtung</t>
  </si>
  <si>
    <t>Heizung /
Lüftung</t>
  </si>
  <si>
    <t>Steck-
dosen</t>
  </si>
  <si>
    <t>Daten-
dosen</t>
  </si>
  <si>
    <t>Brandschutz</t>
  </si>
  <si>
    <t>Arbeits-
plätze</t>
  </si>
  <si>
    <t>Maßnahme</t>
  </si>
  <si>
    <t>Boden
(€)</t>
  </si>
  <si>
    <t>Wand
(€)</t>
  </si>
  <si>
    <t>Decke
(€)</t>
  </si>
  <si>
    <t>Ausbaukosten
gesamt (€)</t>
  </si>
  <si>
    <t>Kosten
je m² (€)</t>
  </si>
  <si>
    <t>Fertig-
stellung</t>
  </si>
  <si>
    <t>Verantwortlich</t>
  </si>
  <si>
    <t>Terminstatus</t>
  </si>
  <si>
    <t>Voll-
ständigkeit</t>
  </si>
  <si>
    <t>Bemerkungen</t>
  </si>
  <si>
    <t>N-UG-01</t>
  </si>
  <si>
    <t>Haus Nord</t>
  </si>
  <si>
    <t>Technikzentrale</t>
  </si>
  <si>
    <t>Technik/IT</t>
  </si>
  <si>
    <t>Estrich versiegelt</t>
  </si>
  <si>
    <t>Anstrich Dispersion</t>
  </si>
  <si>
    <t>Sichtbeton unbehandelt</t>
  </si>
  <si>
    <t>Feuchtraumleuchte</t>
  </si>
  <si>
    <t>RLT-Anlage</t>
  </si>
  <si>
    <t>F 90</t>
  </si>
  <si>
    <t>Sanierung</t>
  </si>
  <si>
    <t>A. Kern</t>
  </si>
  <si>
    <t>Zutritt nur für Fachpersonal, Revisionsöffnung freihalten</t>
  </si>
  <si>
    <t>N-UG-02</t>
  </si>
  <si>
    <t>Archiv Verwaltung</t>
  </si>
  <si>
    <t>Verwaltung</t>
  </si>
  <si>
    <t>LED-Lichtband</t>
  </si>
  <si>
    <t>Keine</t>
  </si>
  <si>
    <t>Bestand unverändert</t>
  </si>
  <si>
    <t>D. Vollmer</t>
  </si>
  <si>
    <t>Zulässige Deckenlast beachten</t>
  </si>
  <si>
    <t>N-UG-03</t>
  </si>
  <si>
    <t>Lager Betriebsmittel</t>
  </si>
  <si>
    <t>Allgemeinfläche</t>
  </si>
  <si>
    <t>F 30</t>
  </si>
  <si>
    <t>N-EG-01</t>
  </si>
  <si>
    <t>Foyer / Empfang</t>
  </si>
  <si>
    <t>Feinsteinzeug</t>
  </si>
  <si>
    <t>Glasvlies + Anstrich</t>
  </si>
  <si>
    <t>Akustik-Lochdecke</t>
  </si>
  <si>
    <t>LED-Einbaustrahler</t>
  </si>
  <si>
    <t>Fußbodenheizung</t>
  </si>
  <si>
    <t>Rettungsweg</t>
  </si>
  <si>
    <t>Neubau/Ausbau</t>
  </si>
  <si>
    <t>S. Fiedler</t>
  </si>
  <si>
    <t>Barrierefreier Zugang, Empfangstresen bauseits</t>
  </si>
  <si>
    <t>N-EG-02</t>
  </si>
  <si>
    <t>Besprechungsraum 1</t>
  </si>
  <si>
    <t>Teppichfliese</t>
  </si>
  <si>
    <t>Akustikpaneel</t>
  </si>
  <si>
    <t>LED-Panel</t>
  </si>
  <si>
    <t>Keine Anforderung</t>
  </si>
  <si>
    <t>Medientechnik über Bodentank</t>
  </si>
  <si>
    <t>N-EG-03</t>
  </si>
  <si>
    <t>Teeküche EG</t>
  </si>
  <si>
    <t>Fliesenspiegel</t>
  </si>
  <si>
    <t>Gipskarton abgehängt</t>
  </si>
  <si>
    <t>T. Baumgart</t>
  </si>
  <si>
    <t>Wasser- und Abwasseranschluss erforderlich</t>
  </si>
  <si>
    <t>N-EG-04</t>
  </si>
  <si>
    <t>Sanitär Damen EG</t>
  </si>
  <si>
    <t>Termin überschritten – Abstimmung mit Rohbau offen</t>
  </si>
  <si>
    <t>N-EG-05</t>
  </si>
  <si>
    <t>Sanitär Herren EG</t>
  </si>
  <si>
    <t>N-EG-06</t>
  </si>
  <si>
    <t>Flur EG Nord</t>
  </si>
  <si>
    <t>Heizkörper</t>
  </si>
  <si>
    <t>Fluchtwegbreite 2,00 m einhalten</t>
  </si>
  <si>
    <t>N-EG-07</t>
  </si>
  <si>
    <t>Treppenhaus Nord</t>
  </si>
  <si>
    <t>Notwendiges Treppenhaus</t>
  </si>
  <si>
    <t>N-1OG-01</t>
  </si>
  <si>
    <t>Großraumbüro Nord</t>
  </si>
  <si>
    <t>Rasterdecke Mineralfaser</t>
  </si>
  <si>
    <t>Heizkörper + Zuluft</t>
  </si>
  <si>
    <t>Akustikstellwände separat beauftragt</t>
  </si>
  <si>
    <t>N-1OG-02</t>
  </si>
  <si>
    <t>Einzelbüro Leitung</t>
  </si>
  <si>
    <t>N-1OG-03</t>
  </si>
  <si>
    <t>Gruppenbüro 1.03</t>
  </si>
  <si>
    <t>Vertrieb</t>
  </si>
  <si>
    <t>N-1OG-04</t>
  </si>
  <si>
    <t>Kopier- und Materialraum</t>
  </si>
  <si>
    <t>Vinyl-Designbelag</t>
  </si>
  <si>
    <t>Wandschutzprofil</t>
  </si>
  <si>
    <t>Erhöhter Luftwechsel wegen Drucktechnik</t>
  </si>
  <si>
    <t>N-1OG-05</t>
  </si>
  <si>
    <t>Flur 1. OG</t>
  </si>
  <si>
    <t>N-2OG-01</t>
  </si>
  <si>
    <t>Schulungsraum</t>
  </si>
  <si>
    <t>Personal</t>
  </si>
  <si>
    <t>R. Thalmann</t>
  </si>
  <si>
    <t>Teilbar über mobile Trennwand</t>
  </si>
  <si>
    <t>N-2OG-02</t>
  </si>
  <si>
    <t>Doppelboden</t>
  </si>
  <si>
    <t>Trockenbau + Anstrich</t>
  </si>
  <si>
    <t>Klimasplitgerät</t>
  </si>
  <si>
    <t>Redundante Kühlung, separate Zutrittskontrolle</t>
  </si>
  <si>
    <t>N-2OG-03</t>
  </si>
  <si>
    <t>Gruppenbüro 2.03</t>
  </si>
  <si>
    <t>N-2OG-04</t>
  </si>
  <si>
    <t>Sozial- und Pausenraum</t>
  </si>
  <si>
    <t>Kautschukbelag</t>
  </si>
  <si>
    <t>Pendelleuchte</t>
  </si>
  <si>
    <t>S-EG-01</t>
  </si>
  <si>
    <t>Haus Süd</t>
  </si>
  <si>
    <t>Windfang / Eingang Süd</t>
  </si>
  <si>
    <t>Schmutzfangzone eingebaut</t>
  </si>
  <si>
    <t>S-EG-02</t>
  </si>
  <si>
    <t>Besprechungsraum 2</t>
  </si>
  <si>
    <t>Vermietung</t>
  </si>
  <si>
    <t>S-EG-03</t>
  </si>
  <si>
    <t>Sanitär barrierefrei</t>
  </si>
  <si>
    <t>Bewegungsfläche 1,50 m freihalten</t>
  </si>
  <si>
    <t>S-1OG-01</t>
  </si>
  <si>
    <t>Büro Vertrieb 1</t>
  </si>
  <si>
    <t>Linoleum</t>
  </si>
  <si>
    <t>Umnutzung</t>
  </si>
  <si>
    <t>S-1OG-02</t>
  </si>
  <si>
    <t>Büro Vertrieb 2</t>
  </si>
  <si>
    <t>S-1OG-03</t>
  </si>
  <si>
    <t>Lager Vertrieb</t>
  </si>
  <si>
    <t>Nutzung wird derzeit geprüft – kein Termin hinterlegt</t>
  </si>
  <si>
    <t>S-DG-01</t>
  </si>
  <si>
    <t>Technikraum Lüftung</t>
  </si>
  <si>
    <t>ohne Belag / Bestand</t>
  </si>
  <si>
    <t>Rückbau</t>
  </si>
  <si>
    <t>Rückbau erst nach Umschluss der Anlage</t>
  </si>
  <si>
    <t>SUMME / MITTELWERT</t>
  </si>
  <si>
    <t>Hilfszelle</t>
  </si>
  <si>
    <t>RAUMDATENBLATT</t>
  </si>
  <si>
    <t>Zeilenindex</t>
  </si>
  <si>
    <t>Einzelblatt je Raum – alle Angaben werden automatisch aus dem Blatt „Raumbuch“ übernommen.</t>
  </si>
  <si>
    <t>Raum-Nr. auswählen</t>
  </si>
  <si>
    <t>01 · IDENTIFIKATION</t>
  </si>
  <si>
    <t>Nutzungseinheit</t>
  </si>
  <si>
    <t>02 · GEOMETRIE UND AUFMASS</t>
  </si>
  <si>
    <t>Länge (m)</t>
  </si>
  <si>
    <t>Grundfläche (m²)</t>
  </si>
  <si>
    <t>Breite (m)</t>
  </si>
  <si>
    <t>Umfang (m)</t>
  </si>
  <si>
    <t>Lichte Höhe (m)</t>
  </si>
  <si>
    <t>Volumen (m³)</t>
  </si>
  <si>
    <t>Türen / Fenster (Anz.)</t>
  </si>
  <si>
    <t>Wandfläche netto (m²)</t>
  </si>
  <si>
    <t>03 · AUSBAU UND OBERFLÄCHEN</t>
  </si>
  <si>
    <t>Kosten Boden (€)</t>
  </si>
  <si>
    <t>Wandbelag / Oberfläche</t>
  </si>
  <si>
    <t>Kosten Wand (€)</t>
  </si>
  <si>
    <t>Kosten Decke (€)</t>
  </si>
  <si>
    <t>04 · TECHNISCHE AUSSTATTUNG</t>
  </si>
  <si>
    <t>Steckdosen (Anz.)</t>
  </si>
  <si>
    <t>Heizung / Lüftung</t>
  </si>
  <si>
    <t>Datenanschlüsse (Anz.)</t>
  </si>
  <si>
    <t>Brandschutzanforderung</t>
  </si>
  <si>
    <t>Arbeitsplätze (Anz.)</t>
  </si>
  <si>
    <t>05 · MASSNAHME, KOSTEN UND TERMIN</t>
  </si>
  <si>
    <t>Ausbaukosten gesamt (€)</t>
  </si>
  <si>
    <t>Fertigstellung</t>
  </si>
  <si>
    <t>Kosten je m² (€)</t>
  </si>
  <si>
    <t>Datenvollständigkeit</t>
  </si>
  <si>
    <t>06 · BEMERKUNGEN</t>
  </si>
  <si>
    <t>07 · FREIGABE</t>
  </si>
  <si>
    <t>Aufgenommen am / durch</t>
  </si>
  <si>
    <t>Geprüft am / durch</t>
  </si>
  <si>
    <t>Freigabe Auftraggeber</t>
  </si>
  <si>
    <t>STAMMDATEN &amp; KATALOGE</t>
  </si>
  <si>
    <t>Auswahllisten der Dropdown-Felder und Einheitspreise der Kostenkalkulation – hier zentral anpassen.</t>
  </si>
  <si>
    <t>01 · AUSWAHLLISTEN   ·   Grundlage aller Dropdown-Felder im Blatt „Raumbuch“</t>
  </si>
  <si>
    <t>Haus West</t>
  </si>
  <si>
    <t>T 30 (Tür)</t>
  </si>
  <si>
    <t>Bestandsleuchte</t>
  </si>
  <si>
    <t>Fensterlüftung</t>
  </si>
  <si>
    <t>02 · EINHEITSPREISE AUSBAU   ·   Netto-Richtwerte je m² – Basis der automatischen Kostenermittlung</t>
  </si>
  <si>
    <t>Bezeichnung</t>
  </si>
  <si>
    <t>EP netto (€/m²)</t>
  </si>
  <si>
    <t>Deckenanstrich</t>
  </si>
  <si>
    <t>Kühldecke</t>
  </si>
  <si>
    <t>Parkett Eiche</t>
  </si>
  <si>
    <t>Hinweis:  Die Einheitspreise sind Platzhalter-Richtwerte der Vorlage und ersetzen kein Angebot. Werden sie hier geändert, aktualisieren sich alle Kosten im Raumbuch automatisch. Neue Einträge bitte direkt unterhalb der letzten Zeile ergänzen und den Bereich der Dropdown-Liste erweitern.</t>
  </si>
  <si>
    <t>RAUMBUCH VORLAGE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</si>
</sst>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quot; €&quot;"/>
    <numFmt numFmtId="166" formatCode="#,##0.00&quot; €&quot;"/>
    <numFmt numFmtId="167" formatCode="0\ %"/>
    <numFmt numFmtId="168" formatCode="0.0\ %"/>
  </numFmts>
  <fonts count="24" x14ac:knownFonts="1">
    <font>
      <sz val="10"/>
      <name val="Calibri"/>
      <charset val="1"/>
    </font>
    <font>
      <sz val="11"/>
      <color theme="1"/>
      <name val="Calibri"/>
      <family val="2"/>
      <charset val="1"/>
    </font>
    <font>
      <b/>
      <sz val="24"/>
      <color rgb="FF16233A"/>
      <name val="Calibri"/>
      <charset val="1"/>
    </font>
    <font>
      <b/>
      <sz val="10"/>
      <color rgb="FF8A4726"/>
      <name val="Calibri"/>
      <charset val="1"/>
    </font>
    <font>
      <sz val="11"/>
      <color rgb="FF5D6B7E"/>
      <name val="Calibri"/>
      <charset val="1"/>
    </font>
    <font>
      <b/>
      <sz val="10"/>
      <color rgb="FFFFFFFF"/>
      <name val="Calibri"/>
      <charset val="1"/>
    </font>
    <font>
      <b/>
      <sz val="9"/>
      <color rgb="FF5D6B7E"/>
      <name val="Calibri"/>
      <charset val="1"/>
    </font>
    <font>
      <b/>
      <sz val="10"/>
      <color rgb="FF16233A"/>
      <name val="Calibri"/>
      <charset val="1"/>
    </font>
    <font>
      <b/>
      <sz val="18"/>
      <color rgb="FF16233A"/>
      <name val="Calibri"/>
      <charset val="1"/>
    </font>
    <font>
      <sz val="8"/>
      <color rgb="FF8C8378"/>
      <name val="Calibri"/>
      <charset val="1"/>
    </font>
    <font>
      <b/>
      <sz val="9"/>
      <color rgb="FFFFFFFF"/>
      <name val="Calibri"/>
      <charset val="1"/>
    </font>
    <font>
      <sz val="10"/>
      <color rgb="FF1F2937"/>
      <name val="Calibri"/>
      <charset val="1"/>
    </font>
    <font>
      <sz val="9"/>
      <color rgb="FF5D6B7E"/>
      <name val="Calibri"/>
      <charset val="1"/>
    </font>
    <font>
      <b/>
      <sz val="20"/>
      <color rgb="FF16233A"/>
      <name val="Calibri"/>
      <charset val="1"/>
    </font>
    <font>
      <b/>
      <sz val="11"/>
      <color rgb="FF8A4726"/>
      <name val="Calibri"/>
      <charset val="1"/>
    </font>
    <font>
      <sz val="10"/>
      <color rgb="FF5D6B7E"/>
      <name val="Calibri"/>
      <charset val="1"/>
    </font>
    <font>
      <b/>
      <sz val="9"/>
      <color rgb="FF8A4726"/>
      <name val="Calibri"/>
      <charset val="1"/>
    </font>
    <font>
      <b/>
      <sz val="11"/>
      <color rgb="FF16233A"/>
      <name val="Calibri"/>
      <charset val="1"/>
    </font>
    <font>
      <b/>
      <i/>
      <sz val="9"/>
      <color rgb="FF5D6B7E"/>
      <name val="Calibri"/>
      <charset val="1"/>
    </font>
    <font>
      <sz val="10"/>
      <color rgb="FF16233A"/>
      <name val="Calibri"/>
      <charset val="1"/>
    </font>
    <font>
      <sz val="10"/>
      <name val="Arial"/>
      <family val="2"/>
    </font>
    <font>
      <sz val="8"/>
      <color rgb="FFB9B0A6"/>
      <name val="Calibri"/>
      <charset val="1"/>
    </font>
    <font>
      <b/>
      <sz val="14"/>
      <color rgb="FF8A4726"/>
      <name val="Calibri"/>
      <charset val="1"/>
    </font>
    <font>
      <sz val="8"/>
      <color rgb="FF5D6B7E"/>
      <name val="Calibri"/>
      <charset val="1"/>
    </font>
  </fonts>
  <fills count="15">
    <fill>
      <patternFill patternType="none"/>
    </fill>
    <fill>
      <patternFill patternType="gray125"/>
    </fill>
    <fill>
      <patternFill patternType="solid">
        <fgColor rgb="FFB0603A"/>
        <bgColor rgb="FF96521F"/>
      </patternFill>
    </fill>
    <fill>
      <patternFill patternType="solid">
        <fgColor rgb="FF16233A"/>
        <bgColor rgb="FF1F2937"/>
      </patternFill>
    </fill>
    <fill>
      <patternFill patternType="solid">
        <fgColor rgb="FFF1EAE2"/>
        <bgColor rgb="FFEFEBE6"/>
      </patternFill>
    </fill>
    <fill>
      <patternFill patternType="solid">
        <fgColor rgb="FFFFFFFF"/>
        <bgColor rgb="FFFAF6F1"/>
      </patternFill>
    </fill>
    <fill>
      <patternFill patternType="solid">
        <fgColor rgb="FFFAF6F1"/>
        <bgColor rgb="FFFBF5EF"/>
      </patternFill>
    </fill>
    <fill>
      <patternFill patternType="solid">
        <fgColor rgb="FF2B3F5C"/>
        <bgColor rgb="FF23456E"/>
      </patternFill>
    </fill>
    <fill>
      <patternFill patternType="solid">
        <fgColor rgb="FFFBF5EF"/>
        <bgColor rgb="FFFAF6F1"/>
      </patternFill>
    </fill>
    <fill>
      <patternFill patternType="solid">
        <fgColor rgb="FFE9ECF1"/>
        <bgColor rgb="FFE7ECF3"/>
      </patternFill>
    </fill>
    <fill>
      <patternFill patternType="solid">
        <fgColor rgb="FFFBE2DC"/>
        <bgColor rgb="FFF3E2D7"/>
      </patternFill>
    </fill>
    <fill>
      <patternFill patternType="solid">
        <fgColor rgb="FFF3E2D7"/>
        <bgColor rgb="FFFBE2DC"/>
      </patternFill>
    </fill>
    <fill>
      <patternFill patternType="solid">
        <fgColor rgb="FF8A4726"/>
        <bgColor rgb="FF96521F"/>
      </patternFill>
    </fill>
    <fill>
      <patternFill patternType="solid">
        <fgColor rgb="FFFFF3E8"/>
        <bgColor rgb="FFFBF5EF"/>
      </patternFill>
    </fill>
    <fill>
      <patternFill patternType="solid">
        <fgColor rgb="FF5D6B7E"/>
        <bgColor rgb="FF756C62"/>
      </patternFill>
    </fill>
  </fills>
  <borders count="13">
    <border>
      <left/>
      <right/>
      <top/>
      <bottom/>
      <diagonal/>
    </border>
    <border>
      <left/>
      <right/>
      <top/>
      <bottom style="medium">
        <color rgb="FF16233A"/>
      </bottom>
      <diagonal/>
    </border>
    <border>
      <left style="thin">
        <color rgb="FFD5CCC3"/>
      </left>
      <right style="thin">
        <color rgb="FFD5CCC3"/>
      </right>
      <top style="thin">
        <color rgb="FFD5CCC3"/>
      </top>
      <bottom style="thin">
        <color rgb="FFD5CCC3"/>
      </bottom>
      <diagonal/>
    </border>
    <border>
      <left style="thick">
        <color rgb="FFB0603A"/>
      </left>
      <right style="thin">
        <color rgb="FFD5CCC3"/>
      </right>
      <top style="thin">
        <color rgb="FFD5CCC3"/>
      </top>
      <bottom/>
      <diagonal/>
    </border>
    <border>
      <left style="thick">
        <color rgb="FFB0603A"/>
      </left>
      <right style="thin">
        <color rgb="FFD5CCC3"/>
      </right>
      <top/>
      <bottom/>
      <diagonal/>
    </border>
    <border>
      <left style="thick">
        <color rgb="FFB0603A"/>
      </left>
      <right style="thin">
        <color rgb="FFD5CCC3"/>
      </right>
      <top/>
      <bottom style="thin">
        <color rgb="FFD5CCC3"/>
      </bottom>
      <diagonal/>
    </border>
    <border>
      <left style="thin">
        <color rgb="FFAEA398"/>
      </left>
      <right style="thin">
        <color rgb="FFAEA398"/>
      </right>
      <top style="thin">
        <color rgb="FFAEA398"/>
      </top>
      <bottom style="thin">
        <color rgb="FFAEA398"/>
      </bottom>
      <diagonal/>
    </border>
    <border>
      <left/>
      <right/>
      <top style="thin">
        <color rgb="FFB0603A"/>
      </top>
      <bottom/>
      <diagonal/>
    </border>
    <border>
      <left/>
      <right/>
      <top style="thin">
        <color rgb="FFAEA398"/>
      </top>
      <bottom style="thin">
        <color rgb="FFAEA398"/>
      </bottom>
      <diagonal/>
    </border>
    <border>
      <left/>
      <right style="thin">
        <color rgb="FFFFFFFF"/>
      </right>
      <top/>
      <bottom/>
      <diagonal/>
    </border>
    <border>
      <left/>
      <right/>
      <top style="medium">
        <color rgb="FFB0603A"/>
      </top>
      <bottom/>
      <diagonal/>
    </border>
    <border>
      <left style="thick">
        <color rgb="FFB0603A"/>
      </left>
      <right style="thin">
        <color rgb="FFAEA398"/>
      </right>
      <top style="thin">
        <color rgb="FFAEA398"/>
      </top>
      <bottom style="thin">
        <color rgb="FFAEA398"/>
      </bottom>
      <diagonal/>
    </border>
    <border>
      <left/>
      <right/>
      <top/>
      <bottom style="thin">
        <color rgb="FF16233A"/>
      </bottom>
      <diagonal/>
    </border>
  </borders>
  <cellStyleXfs count="1">
    <xf numFmtId="0" fontId="0" fillId="0" borderId="0"/>
  </cellStyleXfs>
  <cellXfs count="93">
    <xf numFmtId="0" fontId="0" fillId="0" borderId="0" xfId="0"/>
    <xf numFmtId="0" fontId="11" fillId="0" borderId="0" xfId="0" applyFont="1" applyAlignment="1">
      <alignment horizontal="left" vertical="center" indent="1"/>
    </xf>
    <xf numFmtId="167" fontId="8" fillId="6" borderId="4" xfId="0" applyNumberFormat="1" applyFont="1" applyFill="1" applyBorder="1" applyAlignment="1">
      <alignment horizontal="left" vertical="center" indent="1"/>
    </xf>
    <xf numFmtId="166" fontId="8" fillId="6" borderId="4" xfId="0" applyNumberFormat="1" applyFont="1" applyFill="1" applyBorder="1" applyAlignment="1">
      <alignment horizontal="left" vertical="center" indent="1"/>
    </xf>
    <xf numFmtId="165" fontId="8" fillId="6" borderId="4" xfId="0" applyNumberFormat="1" applyFont="1" applyFill="1" applyBorder="1" applyAlignment="1">
      <alignment horizontal="left" vertical="center" indent="1"/>
    </xf>
    <xf numFmtId="0" fontId="9" fillId="6" borderId="5" xfId="0" applyFont="1" applyFill="1" applyBorder="1" applyAlignment="1">
      <alignment horizontal="left" vertical="top" indent="1"/>
    </xf>
    <xf numFmtId="4" fontId="8" fillId="6" borderId="4" xfId="0" applyNumberFormat="1" applyFont="1" applyFill="1" applyBorder="1" applyAlignment="1">
      <alignment horizontal="left" vertical="center" indent="1"/>
    </xf>
    <xf numFmtId="3" fontId="8" fillId="6" borderId="4" xfId="0" applyNumberFormat="1" applyFont="1" applyFill="1" applyBorder="1" applyAlignment="1">
      <alignment horizontal="left" vertical="center" indent="1"/>
    </xf>
    <xf numFmtId="0" fontId="6" fillId="6" borderId="3" xfId="0" applyFont="1" applyFill="1" applyBorder="1" applyAlignment="1">
      <alignment horizontal="left" indent="1"/>
    </xf>
    <xf numFmtId="164" fontId="7" fillId="5" borderId="2" xfId="0" applyNumberFormat="1" applyFont="1" applyFill="1" applyBorder="1" applyAlignment="1">
      <alignment horizontal="left" vertical="center" indent="1"/>
    </xf>
    <xf numFmtId="0" fontId="7" fillId="5" borderId="2" xfId="0" applyFont="1" applyFill="1" applyBorder="1" applyAlignment="1">
      <alignment horizontal="left" vertical="center" indent="1"/>
    </xf>
    <xf numFmtId="0" fontId="5" fillId="3" borderId="0" xfId="0" applyFont="1" applyFill="1" applyAlignment="1">
      <alignment horizontal="left" vertical="center" indent="1"/>
    </xf>
    <xf numFmtId="0" fontId="4" fillId="0" borderId="0" xfId="0" applyFont="1"/>
    <xf numFmtId="0" fontId="3" fillId="0" borderId="0" xfId="0" applyFont="1" applyAlignment="1">
      <alignment horizontal="right" vertical="center"/>
    </xf>
    <xf numFmtId="0" fontId="2" fillId="0" borderId="0" xfId="0" applyFont="1" applyAlignment="1">
      <alignment horizontal="left" vertical="center"/>
    </xf>
    <xf numFmtId="0" fontId="1" fillId="2" borderId="0" xfId="0" applyFont="1" applyFill="1"/>
    <xf numFmtId="0" fontId="1" fillId="0" borderId="1" xfId="0" applyFont="1" applyBorder="1"/>
    <xf numFmtId="0" fontId="5" fillId="3" borderId="0" xfId="0" applyFont="1" applyFill="1" applyAlignment="1">
      <alignment horizontal="left" vertical="center" indent="1"/>
    </xf>
    <xf numFmtId="0" fontId="6" fillId="4" borderId="2" xfId="0" applyFont="1" applyFill="1" applyBorder="1" applyAlignment="1">
      <alignment horizontal="left" vertical="center" indent="1"/>
    </xf>
    <xf numFmtId="0" fontId="7" fillId="5" borderId="2" xfId="0" applyFont="1" applyFill="1" applyBorder="1" applyAlignment="1">
      <alignment horizontal="left" vertical="center" indent="1"/>
    </xf>
    <xf numFmtId="0" fontId="10" fillId="7" borderId="6" xfId="0" applyFont="1" applyFill="1" applyBorder="1" applyAlignment="1">
      <alignment horizontal="center" vertical="center" wrapText="1"/>
    </xf>
    <xf numFmtId="3" fontId="11" fillId="5" borderId="2" xfId="0" applyNumberFormat="1" applyFont="1" applyFill="1" applyBorder="1" applyAlignment="1">
      <alignment horizontal="center" vertical="center"/>
    </xf>
    <xf numFmtId="4" fontId="11" fillId="5" borderId="2" xfId="0" applyNumberFormat="1" applyFont="1" applyFill="1" applyBorder="1" applyAlignment="1">
      <alignment horizontal="right" vertical="center"/>
    </xf>
    <xf numFmtId="168" fontId="11" fillId="5" borderId="2" xfId="0" applyNumberFormat="1" applyFont="1" applyFill="1" applyBorder="1" applyAlignment="1">
      <alignment horizontal="center" vertical="center"/>
    </xf>
    <xf numFmtId="165" fontId="11" fillId="5" borderId="2" xfId="0" applyNumberFormat="1" applyFont="1" applyFill="1" applyBorder="1" applyAlignment="1">
      <alignment horizontal="right" vertical="center"/>
    </xf>
    <xf numFmtId="0" fontId="5" fillId="3" borderId="7" xfId="0" applyFont="1" applyFill="1" applyBorder="1" applyAlignment="1">
      <alignment horizontal="left" vertical="center" indent="1"/>
    </xf>
    <xf numFmtId="3" fontId="5" fillId="3" borderId="7" xfId="0" applyNumberFormat="1" applyFont="1" applyFill="1" applyBorder="1" applyAlignment="1">
      <alignment horizontal="center" vertical="center"/>
    </xf>
    <xf numFmtId="4" fontId="5" fillId="3" borderId="7" xfId="0" applyNumberFormat="1" applyFont="1" applyFill="1" applyBorder="1" applyAlignment="1">
      <alignment horizontal="right" vertical="center"/>
    </xf>
    <xf numFmtId="168" fontId="5" fillId="3" borderId="7" xfId="0" applyNumberFormat="1" applyFont="1" applyFill="1" applyBorder="1" applyAlignment="1">
      <alignment horizontal="center" vertical="center"/>
    </xf>
    <xf numFmtId="165" fontId="5" fillId="3" borderId="7" xfId="0" applyNumberFormat="1" applyFont="1" applyFill="1" applyBorder="1" applyAlignment="1">
      <alignment horizontal="right" vertical="center"/>
    </xf>
    <xf numFmtId="0" fontId="5" fillId="2" borderId="0" xfId="0" applyFont="1" applyFill="1" applyAlignment="1">
      <alignment horizontal="center" vertical="center"/>
    </xf>
    <xf numFmtId="0" fontId="1" fillId="5" borderId="6" xfId="0" applyFont="1" applyFill="1" applyBorder="1"/>
    <xf numFmtId="0" fontId="12" fillId="0" borderId="0" xfId="0" applyFont="1" applyAlignment="1">
      <alignment horizontal="left" vertical="center" wrapText="1" indent="1"/>
    </xf>
    <xf numFmtId="0" fontId="1" fillId="8" borderId="6" xfId="0" applyFont="1" applyFill="1" applyBorder="1"/>
    <xf numFmtId="0" fontId="1" fillId="9" borderId="6" xfId="0" applyFont="1" applyFill="1" applyBorder="1"/>
    <xf numFmtId="0" fontId="1" fillId="10" borderId="6" xfId="0" applyFont="1" applyFill="1" applyBorder="1"/>
    <xf numFmtId="0" fontId="1" fillId="11" borderId="6" xfId="0" applyFont="1" applyFill="1" applyBorder="1"/>
    <xf numFmtId="0" fontId="12" fillId="4" borderId="8" xfId="0" applyFont="1" applyFill="1" applyBorder="1" applyAlignment="1">
      <alignment horizontal="right" vertical="center"/>
    </xf>
    <xf numFmtId="3" fontId="17" fillId="4" borderId="8" xfId="0" applyNumberFormat="1" applyFont="1" applyFill="1" applyBorder="1" applyAlignment="1">
      <alignment horizontal="left" vertical="center" indent="1"/>
    </xf>
    <xf numFmtId="4" fontId="17" fillId="4" borderId="8" xfId="0" applyNumberFormat="1" applyFont="1" applyFill="1" applyBorder="1" applyAlignment="1">
      <alignment horizontal="left" vertical="center" indent="1"/>
    </xf>
    <xf numFmtId="0" fontId="1" fillId="4" borderId="8" xfId="0" applyFont="1" applyFill="1" applyBorder="1"/>
    <xf numFmtId="0" fontId="7" fillId="5" borderId="2" xfId="0" applyFont="1" applyFill="1" applyBorder="1" applyAlignment="1">
      <alignment horizontal="left" vertical="center"/>
    </xf>
    <xf numFmtId="0" fontId="11" fillId="8" borderId="2" xfId="0" applyFont="1" applyFill="1" applyBorder="1" applyAlignment="1">
      <alignment horizontal="left" vertical="center"/>
    </xf>
    <xf numFmtId="0" fontId="11" fillId="8" borderId="2" xfId="0" applyFont="1" applyFill="1" applyBorder="1" applyAlignment="1">
      <alignment horizontal="center" vertical="center"/>
    </xf>
    <xf numFmtId="0" fontId="11" fillId="5" borderId="2" xfId="0" applyFont="1" applyFill="1" applyBorder="1" applyAlignment="1">
      <alignment horizontal="left" vertical="center"/>
    </xf>
    <xf numFmtId="4" fontId="11" fillId="5" borderId="2" xfId="0" applyNumberFormat="1" applyFont="1" applyFill="1" applyBorder="1" applyAlignment="1">
      <alignment horizontal="center" vertical="center"/>
    </xf>
    <xf numFmtId="4" fontId="19" fillId="9" borderId="2" xfId="0" applyNumberFormat="1" applyFont="1" applyFill="1" applyBorder="1" applyAlignment="1">
      <alignment horizontal="right" vertical="center"/>
    </xf>
    <xf numFmtId="1" fontId="11" fillId="5" borderId="2" xfId="0" applyNumberFormat="1" applyFont="1" applyFill="1" applyBorder="1" applyAlignment="1">
      <alignment horizontal="center" vertical="center"/>
    </xf>
    <xf numFmtId="165" fontId="19" fillId="9" borderId="2" xfId="0" applyNumberFormat="1" applyFont="1" applyFill="1" applyBorder="1" applyAlignment="1">
      <alignment horizontal="right" vertical="center"/>
    </xf>
    <xf numFmtId="165" fontId="7" fillId="9" borderId="2" xfId="0" applyNumberFormat="1" applyFont="1" applyFill="1" applyBorder="1" applyAlignment="1">
      <alignment horizontal="right" vertical="center"/>
    </xf>
    <xf numFmtId="166" fontId="19" fillId="9" borderId="2" xfId="0" applyNumberFormat="1" applyFont="1" applyFill="1" applyBorder="1" applyAlignment="1">
      <alignment horizontal="right" vertical="center"/>
    </xf>
    <xf numFmtId="164" fontId="11" fillId="5" borderId="2" xfId="0" applyNumberFormat="1" applyFont="1" applyFill="1" applyBorder="1" applyAlignment="1">
      <alignment horizontal="center" vertical="center"/>
    </xf>
    <xf numFmtId="0" fontId="19" fillId="9" borderId="2" xfId="0" applyFont="1" applyFill="1" applyBorder="1" applyAlignment="1">
      <alignment horizontal="center" vertical="center"/>
    </xf>
    <xf numFmtId="167" fontId="19" fillId="9" borderId="2" xfId="0" applyNumberFormat="1" applyFont="1" applyFill="1" applyBorder="1" applyAlignment="1">
      <alignment horizontal="center" vertical="center"/>
    </xf>
    <xf numFmtId="0" fontId="1" fillId="3" borderId="10" xfId="0" applyFont="1" applyFill="1" applyBorder="1"/>
    <xf numFmtId="4" fontId="5" fillId="3" borderId="10" xfId="0" applyNumberFormat="1" applyFont="1" applyFill="1" applyBorder="1" applyAlignment="1">
      <alignment horizontal="right" vertical="center"/>
    </xf>
    <xf numFmtId="1" fontId="5" fillId="3" borderId="10" xfId="0" applyNumberFormat="1" applyFont="1" applyFill="1" applyBorder="1" applyAlignment="1">
      <alignment horizontal="center" vertical="center"/>
    </xf>
    <xf numFmtId="165" fontId="5" fillId="3" borderId="10" xfId="0" applyNumberFormat="1" applyFont="1" applyFill="1" applyBorder="1" applyAlignment="1">
      <alignment horizontal="right" vertical="center"/>
    </xf>
    <xf numFmtId="166" fontId="5" fillId="3" borderId="10" xfId="0" applyNumberFormat="1" applyFont="1" applyFill="1" applyBorder="1" applyAlignment="1">
      <alignment horizontal="right" vertical="center"/>
    </xf>
    <xf numFmtId="167" fontId="5" fillId="3" borderId="10" xfId="0" applyNumberFormat="1" applyFont="1" applyFill="1" applyBorder="1" applyAlignment="1">
      <alignment horizontal="center" vertical="center"/>
    </xf>
    <xf numFmtId="0" fontId="21" fillId="0" borderId="0" xfId="0" applyFont="1"/>
    <xf numFmtId="0" fontId="21" fillId="0" borderId="0" xfId="0" applyFont="1" applyAlignment="1">
      <alignment horizontal="center" vertical="center"/>
    </xf>
    <xf numFmtId="0" fontId="12" fillId="4" borderId="2" xfId="0" applyFont="1" applyFill="1" applyBorder="1" applyAlignment="1">
      <alignment horizontal="left" vertical="center" indent="1"/>
    </xf>
    <xf numFmtId="0" fontId="10" fillId="14" borderId="6" xfId="0" applyFont="1" applyFill="1" applyBorder="1" applyAlignment="1">
      <alignment horizontal="center" vertical="center" wrapText="1"/>
    </xf>
    <xf numFmtId="165" fontId="7" fillId="6" borderId="2" xfId="0" applyNumberFormat="1" applyFont="1" applyFill="1" applyBorder="1" applyAlignment="1">
      <alignment horizontal="right" vertical="center"/>
    </xf>
    <xf numFmtId="0" fontId="6" fillId="0" borderId="0" xfId="0" applyFont="1"/>
    <xf numFmtId="0" fontId="12" fillId="4" borderId="2" xfId="0" applyFont="1" applyFill="1" applyBorder="1" applyAlignment="1">
      <alignment horizontal="left" vertical="top" wrapText="1"/>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right" vertical="center"/>
    </xf>
    <xf numFmtId="0" fontId="12" fillId="0" borderId="0" xfId="0" applyFont="1"/>
    <xf numFmtId="0" fontId="16" fillId="4" borderId="8" xfId="0" applyFont="1" applyFill="1" applyBorder="1" applyAlignment="1">
      <alignment horizontal="left" vertical="center" indent="1"/>
    </xf>
    <xf numFmtId="0" fontId="12" fillId="4" borderId="8" xfId="0" applyFont="1" applyFill="1" applyBorder="1" applyAlignment="1">
      <alignment horizontal="right" vertical="center"/>
    </xf>
    <xf numFmtId="165" fontId="17" fillId="4" borderId="8" xfId="0" applyNumberFormat="1" applyFont="1" applyFill="1" applyBorder="1" applyAlignment="1">
      <alignment horizontal="left" vertical="center" indent="1"/>
    </xf>
    <xf numFmtId="0" fontId="18" fillId="4" borderId="8" xfId="0" applyFont="1" applyFill="1" applyBorder="1" applyAlignment="1">
      <alignment horizontal="left" vertical="center" indent="1"/>
    </xf>
    <xf numFmtId="0" fontId="10" fillId="3" borderId="9" xfId="0" applyFont="1" applyFill="1" applyBorder="1" applyAlignment="1">
      <alignment horizontal="center" vertical="center"/>
    </xf>
    <xf numFmtId="0" fontId="10" fillId="7" borderId="9" xfId="0" applyFont="1" applyFill="1" applyBorder="1" applyAlignment="1">
      <alignment horizontal="center" vertical="center"/>
    </xf>
    <xf numFmtId="0" fontId="10" fillId="12" borderId="9" xfId="0" applyFont="1" applyFill="1" applyBorder="1" applyAlignment="1">
      <alignment horizontal="center" vertical="center"/>
    </xf>
    <xf numFmtId="0" fontId="5" fillId="3" borderId="10" xfId="0" applyFont="1" applyFill="1" applyBorder="1" applyAlignment="1">
      <alignment horizontal="left" vertical="center" indent="1"/>
    </xf>
    <xf numFmtId="0" fontId="22" fillId="13" borderId="11" xfId="0" applyFont="1" applyFill="1" applyBorder="1" applyAlignment="1">
      <alignment horizontal="center" vertical="center"/>
    </xf>
    <xf numFmtId="0" fontId="6" fillId="0" borderId="0" xfId="0" applyFont="1" applyAlignment="1">
      <alignment horizontal="right" vertical="center"/>
    </xf>
    <xf numFmtId="0" fontId="10" fillId="7" borderId="0" xfId="0" applyFont="1" applyFill="1" applyAlignment="1">
      <alignment horizontal="left" vertical="center" indent="1"/>
    </xf>
    <xf numFmtId="4" fontId="7" fillId="5" borderId="2" xfId="0" applyNumberFormat="1" applyFont="1" applyFill="1" applyBorder="1" applyAlignment="1">
      <alignment horizontal="left" vertical="center" indent="1"/>
    </xf>
    <xf numFmtId="165" fontId="7" fillId="5" borderId="2" xfId="0" applyNumberFormat="1" applyFont="1" applyFill="1" applyBorder="1" applyAlignment="1">
      <alignment horizontal="left" vertical="center" indent="1"/>
    </xf>
    <xf numFmtId="3" fontId="7" fillId="5" borderId="2" xfId="0" applyNumberFormat="1" applyFont="1" applyFill="1" applyBorder="1" applyAlignment="1">
      <alignment horizontal="left" vertical="center" indent="1"/>
    </xf>
    <xf numFmtId="166" fontId="7" fillId="5" borderId="2" xfId="0" applyNumberFormat="1" applyFont="1" applyFill="1" applyBorder="1" applyAlignment="1">
      <alignment horizontal="left" vertical="center" indent="1"/>
    </xf>
    <xf numFmtId="167" fontId="7" fillId="5" borderId="2" xfId="0" applyNumberFormat="1" applyFont="1" applyFill="1" applyBorder="1" applyAlignment="1">
      <alignment horizontal="left" vertical="center" indent="1"/>
    </xf>
    <xf numFmtId="0" fontId="11" fillId="5" borderId="2" xfId="0" applyFont="1" applyFill="1" applyBorder="1" applyAlignment="1">
      <alignment horizontal="left" vertical="top" wrapText="1"/>
    </xf>
    <xf numFmtId="0" fontId="1" fillId="0" borderId="12" xfId="0" applyFont="1" applyBorder="1"/>
    <xf numFmtId="0" fontId="23" fillId="0" borderId="0" xfId="0" applyFont="1" applyAlignment="1">
      <alignment horizontal="left" vertical="top"/>
    </xf>
    <xf numFmtId="0" fontId="8" fillId="0" borderId="0" xfId="0" applyFont="1"/>
    <xf numFmtId="0" fontId="15" fillId="0" borderId="0" xfId="0" applyFont="1"/>
    <xf numFmtId="0" fontId="3" fillId="0" borderId="0" xfId="0" applyFont="1"/>
  </cellXfs>
  <cellStyles count="1">
    <cellStyle name="Standard" xfId="0" builtinId="0"/>
  </cellStyles>
  <dxfs count="22">
    <dxf>
      <font>
        <b/>
        <sz val="10"/>
        <color rgb="FF756C62"/>
        <name val="Calibri"/>
        <charset val="1"/>
      </font>
      <fill>
        <patternFill>
          <bgColor rgb="FFE8E3DD"/>
        </patternFill>
      </fill>
    </dxf>
    <dxf>
      <font>
        <b/>
        <sz val="10"/>
        <color rgb="FF4A5A70"/>
        <name val="Calibri"/>
        <charset val="1"/>
      </font>
      <fill>
        <patternFill>
          <bgColor rgb="FFEDEFF2"/>
        </patternFill>
      </fill>
    </dxf>
    <dxf>
      <font>
        <b/>
        <sz val="10"/>
        <color rgb="FF23456E"/>
        <name val="Calibri"/>
        <charset val="1"/>
      </font>
      <fill>
        <patternFill>
          <bgColor rgb="FFDDE5EF"/>
        </patternFill>
      </fill>
    </dxf>
    <dxf>
      <font>
        <b/>
        <sz val="10"/>
        <color rgb="FF96521F"/>
        <name val="Calibri"/>
        <charset val="1"/>
      </font>
      <fill>
        <patternFill>
          <bgColor rgb="FFFBE7D2"/>
        </patternFill>
      </fill>
    </dxf>
    <dxf>
      <font>
        <b/>
        <sz val="10"/>
        <color rgb="FFFFFFFF"/>
        <name val="Calibri"/>
        <charset val="1"/>
      </font>
      <fill>
        <patternFill>
          <bgColor rgb="FF16233A"/>
        </patternFill>
      </fill>
    </dxf>
    <dxf>
      <font>
        <b/>
        <sz val="10"/>
        <color rgb="FF766E64"/>
        <name val="Calibri"/>
        <charset val="1"/>
      </font>
      <fill>
        <patternFill>
          <bgColor rgb="FFEFEBE6"/>
        </patternFill>
      </fill>
    </dxf>
    <dxf>
      <font>
        <b/>
        <sz val="10"/>
        <color rgb="FF1F4370"/>
        <name val="Calibri"/>
        <charset val="1"/>
      </font>
      <fill>
        <patternFill>
          <bgColor rgb="FFD9E2ED"/>
        </patternFill>
      </fill>
    </dxf>
    <dxf>
      <font>
        <b/>
        <sz val="10"/>
        <color rgb="FF3D5170"/>
        <name val="Calibri"/>
        <charset val="1"/>
      </font>
      <fill>
        <patternFill>
          <bgColor rgb="FFE7ECF3"/>
        </patternFill>
      </fill>
    </dxf>
    <dxf>
      <font>
        <b/>
        <sz val="10"/>
        <color rgb="FF96521F"/>
        <name val="Calibri"/>
        <charset val="1"/>
      </font>
      <fill>
        <patternFill>
          <bgColor rgb="FFFBE7D2"/>
        </patternFill>
      </fill>
    </dxf>
    <dxf>
      <font>
        <b/>
        <sz val="10"/>
        <color rgb="FF8E2A17"/>
        <name val="Calibri"/>
        <charset val="1"/>
      </font>
      <fill>
        <patternFill>
          <bgColor rgb="FFF7D9D2"/>
        </patternFill>
      </fill>
    </dxf>
    <dxf>
      <font>
        <sz val="10"/>
        <color rgb="FF766E64"/>
        <name val="Calibri"/>
        <charset val="1"/>
      </font>
      <fill>
        <patternFill>
          <bgColor rgb="FFEFEBE6"/>
        </patternFill>
      </fill>
    </dxf>
    <dxf>
      <font>
        <sz val="10"/>
        <color rgb="FF1F4370"/>
        <name val="Calibri"/>
        <charset val="1"/>
      </font>
      <fill>
        <patternFill>
          <bgColor rgb="FFD9E2ED"/>
        </patternFill>
      </fill>
    </dxf>
    <dxf>
      <font>
        <sz val="10"/>
        <color rgb="FF3D5170"/>
        <name val="Calibri"/>
        <charset val="1"/>
      </font>
      <fill>
        <patternFill>
          <bgColor rgb="FFE7ECF3"/>
        </patternFill>
      </fill>
    </dxf>
    <dxf>
      <font>
        <b/>
        <sz val="10"/>
        <color rgb="FF96521F"/>
        <name val="Calibri"/>
        <charset val="1"/>
      </font>
      <fill>
        <patternFill>
          <bgColor rgb="FFFBE7D2"/>
        </patternFill>
      </fill>
    </dxf>
    <dxf>
      <font>
        <b/>
        <sz val="10"/>
        <color rgb="FF8E2A17"/>
        <name val="Calibri"/>
        <charset val="1"/>
      </font>
      <fill>
        <patternFill>
          <bgColor rgb="FFF7D9D2"/>
        </patternFill>
      </fill>
    </dxf>
    <dxf>
      <font>
        <sz val="10"/>
        <color rgb="FF756C62"/>
        <name val="Calibri"/>
        <charset val="1"/>
      </font>
      <fill>
        <patternFill>
          <bgColor rgb="FFE8E3DD"/>
        </patternFill>
      </fill>
    </dxf>
    <dxf>
      <font>
        <sz val="10"/>
        <color rgb="FF4A5A70"/>
        <name val="Calibri"/>
        <charset val="1"/>
      </font>
      <fill>
        <patternFill>
          <bgColor rgb="FFEDEFF2"/>
        </patternFill>
      </fill>
    </dxf>
    <dxf>
      <font>
        <sz val="10"/>
        <color rgb="FF23456E"/>
        <name val="Calibri"/>
        <charset val="1"/>
      </font>
      <fill>
        <patternFill>
          <bgColor rgb="FFDDE5EF"/>
        </patternFill>
      </fill>
    </dxf>
    <dxf>
      <font>
        <b/>
        <sz val="10"/>
        <color rgb="FF96521F"/>
        <name val="Calibri"/>
        <charset val="1"/>
      </font>
      <fill>
        <patternFill>
          <bgColor rgb="FFFBE7D2"/>
        </patternFill>
      </fill>
    </dxf>
    <dxf>
      <font>
        <b/>
        <sz val="10"/>
        <color rgb="FFFFFFFF"/>
        <name val="Calibri"/>
        <charset val="1"/>
      </font>
      <fill>
        <patternFill>
          <bgColor rgb="FF16233A"/>
        </patternFill>
      </fill>
    </dxf>
    <dxf>
      <fill>
        <patternFill>
          <bgColor rgb="FFFBE2DC"/>
        </patternFill>
      </fill>
    </dxf>
    <dxf>
      <fill>
        <patternFill>
          <bgColor rgb="FFFBE2DC"/>
        </patternFill>
      </fill>
    </dxf>
  </dxfs>
  <tableStyles count="0" defaultTableStyle="TableStyleMedium2" defaultPivotStyle="PivotStyleLight16"/>
  <colors>
    <indexedColors>
      <rgbColor rgb="FF000000"/>
      <rgbColor rgb="FFFFFFFF"/>
      <rgbColor rgb="FFFF0000"/>
      <rgbColor rgb="FF00FF00"/>
      <rgbColor rgb="FF0000FF"/>
      <rgbColor rgb="FFF1EAE2"/>
      <rgbColor rgb="FFFF00FF"/>
      <rgbColor rgb="FFFBF5EF"/>
      <rgbColor rgb="FF800000"/>
      <rgbColor rgb="FF008000"/>
      <rgbColor rgb="FF000080"/>
      <rgbColor rgb="FF766E64"/>
      <rgbColor rgb="FF800080"/>
      <rgbColor rgb="FF008080"/>
      <rgbColor rgb="FFD5CCC3"/>
      <rgbColor rgb="FF8A8079"/>
      <rgbColor rgb="FFAEA398"/>
      <rgbColor rgb="FF8A4726"/>
      <rgbColor rgb="FFFFF3E8"/>
      <rgbColor rgb="FFE7ECF3"/>
      <rgbColor rgb="FF660066"/>
      <rgbColor rgb="FF8C8378"/>
      <rgbColor rgb="FF3D5170"/>
      <rgbColor rgb="FFD9D9D9"/>
      <rgbColor rgb="FF000080"/>
      <rgbColor rgb="FFFF00FF"/>
      <rgbColor rgb="FFE8E3DD"/>
      <rgbColor rgb="FF00FFFF"/>
      <rgbColor rgb="FF800080"/>
      <rgbColor rgb="FF800000"/>
      <rgbColor rgb="FF008080"/>
      <rgbColor rgb="FF0000FF"/>
      <rgbColor rgb="FF00CCFF"/>
      <rgbColor rgb="FFE9ECF1"/>
      <rgbColor rgb="FFDDE5EF"/>
      <rgbColor rgb="FFFBE7D2"/>
      <rgbColor rgb="FFD9E2ED"/>
      <rgbColor rgb="FFFBE2DC"/>
      <rgbColor rgb="FFB9B0A6"/>
      <rgbColor rgb="FFF7D9D2"/>
      <rgbColor rgb="FF4A5A70"/>
      <rgbColor rgb="FFFAF6F1"/>
      <rgbColor rgb="FFEFEBE6"/>
      <rgbColor rgb="FFF3E2D7"/>
      <rgbColor rgb="FFEDEFF2"/>
      <rgbColor rgb="FFB0603A"/>
      <rgbColor rgb="FF5D6B7E"/>
      <rgbColor rgb="FF878787"/>
      <rgbColor rgb="FF1F4370"/>
      <rgbColor rgb="FF756C62"/>
      <rgbColor rgb="FF16233A"/>
      <rgbColor rgb="FF2B3F5C"/>
      <rgbColor rgb="FF8E2A17"/>
      <rgbColor rgb="FF96521F"/>
      <rgbColor rgb="FF23456E"/>
      <rgbColor rgb="FF1F2937"/>
      <rgbColor rgb="00003366"/>
      <rgbColor rgb="00339966"/>
      <rgbColor rgb="00003300"/>
      <rgbColor rgb="00333300"/>
      <rgbColor rgb="00993300"/>
      <rgbColor rgb="00993366"/>
      <rgbColor rgb="00333399"/>
      <rgbColor rgb="00333333"/>
    </indexedColors>
    <mruColors>
      <color rgb="FFFAF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Fläche je Geschoss (m²)</a:t>
            </a:r>
          </a:p>
        </c:rich>
      </c:tx>
      <c:overlay val="0"/>
      <c:spPr>
        <a:noFill/>
        <a:ln w="0">
          <a:noFill/>
        </a:ln>
      </c:spPr>
    </c:title>
    <c:autoTitleDeleted val="0"/>
    <c:plotArea>
      <c:layout/>
      <c:barChart>
        <c:barDir val="col"/>
        <c:grouping val="clustered"/>
        <c:varyColors val="0"/>
        <c:ser>
          <c:idx val="0"/>
          <c:order val="0"/>
          <c:tx>
            <c:strRef>
              <c:f>Übersicht!$D$24</c:f>
              <c:strCache>
                <c:ptCount val="1"/>
                <c:pt idx="0">
                  <c:v>Fläche (m²)</c:v>
                </c:pt>
              </c:strCache>
            </c:strRef>
          </c:tx>
          <c:spPr>
            <a:solidFill>
              <a:srgbClr val="B0603A"/>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Übersicht!$B$25:$B$30</c:f>
              <c:strCache>
                <c:ptCount val="6"/>
                <c:pt idx="0">
                  <c:v>UG</c:v>
                </c:pt>
                <c:pt idx="1">
                  <c:v>EG</c:v>
                </c:pt>
                <c:pt idx="2">
                  <c:v>1. OG</c:v>
                </c:pt>
                <c:pt idx="3">
                  <c:v>2. OG</c:v>
                </c:pt>
                <c:pt idx="4">
                  <c:v>3. OG</c:v>
                </c:pt>
                <c:pt idx="5">
                  <c:v>DG</c:v>
                </c:pt>
              </c:strCache>
            </c:strRef>
          </c:cat>
          <c:val>
            <c:numRef>
              <c:f>Übersicht!$D$25:$D$30</c:f>
              <c:numCache>
                <c:formatCode>#,##0.00</c:formatCode>
                <c:ptCount val="6"/>
                <c:pt idx="0">
                  <c:v>96.96</c:v>
                </c:pt>
                <c:pt idx="1">
                  <c:v>273.94</c:v>
                </c:pt>
                <c:pt idx="2">
                  <c:v>309.04000000000002</c:v>
                </c:pt>
                <c:pt idx="3">
                  <c:v>164.6</c:v>
                </c:pt>
                <c:pt idx="4">
                  <c:v>0</c:v>
                </c:pt>
                <c:pt idx="5">
                  <c:v>41.44</c:v>
                </c:pt>
              </c:numCache>
            </c:numRef>
          </c:val>
          <c:extLst>
            <c:ext xmlns:c16="http://schemas.microsoft.com/office/drawing/2014/chart" uri="{C3380CC4-5D6E-409C-BE32-E72D297353CC}">
              <c16:uniqueId val="{00000000-3E0A-4F09-B8A5-151E15017FC8}"/>
            </c:ext>
          </c:extLst>
        </c:ser>
        <c:dLbls>
          <c:showLegendKey val="0"/>
          <c:showVal val="0"/>
          <c:showCatName val="0"/>
          <c:showSerName val="0"/>
          <c:showPercent val="0"/>
          <c:showBubbleSize val="0"/>
        </c:dLbls>
        <c:gapWidth val="45"/>
        <c:axId val="98259279"/>
        <c:axId val="14019977"/>
      </c:barChart>
      <c:catAx>
        <c:axId val="98259279"/>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14019977"/>
        <c:crosses val="autoZero"/>
        <c:auto val="1"/>
        <c:lblAlgn val="ctr"/>
        <c:lblOffset val="100"/>
        <c:noMultiLvlLbl val="0"/>
      </c:catAx>
      <c:valAx>
        <c:axId val="14019977"/>
        <c:scaling>
          <c:orientation val="minMax"/>
        </c:scaling>
        <c:delete val="0"/>
        <c:axPos val="l"/>
        <c:numFmt formatCode="#,##0.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98259279"/>
        <c:crosses val="autoZero"/>
        <c:crossBetween val="between"/>
      </c:valAx>
      <c:spPr>
        <a:solidFill>
          <a:schemeClr val="bg1"/>
        </a:solidFill>
        <a:ln w="0">
          <a:noFill/>
        </a:ln>
      </c:spPr>
    </c:plotArea>
    <c:plotVisOnly val="1"/>
    <c:dispBlanksAs val="gap"/>
    <c:showDLblsOverMax val="1"/>
  </c:chart>
  <c:spPr>
    <a:solidFill>
      <a:srgbClr val="FAF6F1"/>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Räume je Nutzungsart</a:t>
            </a:r>
          </a:p>
        </c:rich>
      </c:tx>
      <c:overlay val="0"/>
      <c:spPr>
        <a:noFill/>
        <a:ln w="0">
          <a:noFill/>
        </a:ln>
      </c:spPr>
    </c:title>
    <c:autoTitleDeleted val="0"/>
    <c:plotArea>
      <c:layout/>
      <c:barChart>
        <c:barDir val="bar"/>
        <c:grouping val="clustered"/>
        <c:varyColors val="0"/>
        <c:ser>
          <c:idx val="0"/>
          <c:order val="0"/>
          <c:tx>
            <c:strRef>
              <c:f>Übersicht!$C$34</c:f>
              <c:strCache>
                <c:ptCount val="1"/>
                <c:pt idx="0">
                  <c:v>Räume</c:v>
                </c:pt>
              </c:strCache>
            </c:strRef>
          </c:tx>
          <c:spPr>
            <a:solidFill>
              <a:srgbClr val="2B3F5C"/>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Übersicht!$B$35:$B$48</c:f>
              <c:strCache>
                <c:ptCount val="14"/>
                <c:pt idx="0">
                  <c:v>Büro Einzel</c:v>
                </c:pt>
                <c:pt idx="1">
                  <c:v>Büro Gruppe</c:v>
                </c:pt>
                <c:pt idx="2">
                  <c:v>Großraumbüro</c:v>
                </c:pt>
                <c:pt idx="3">
                  <c:v>Besprechung</c:v>
                </c:pt>
                <c:pt idx="4">
                  <c:v>Schulung</c:v>
                </c:pt>
                <c:pt idx="5">
                  <c:v>Empfang</c:v>
                </c:pt>
                <c:pt idx="6">
                  <c:v>Flur/Verkehr</c:v>
                </c:pt>
                <c:pt idx="7">
                  <c:v>Treppenhaus</c:v>
                </c:pt>
                <c:pt idx="8">
                  <c:v>Sanitär</c:v>
                </c:pt>
                <c:pt idx="9">
                  <c:v>Teeküche/Sozial</c:v>
                </c:pt>
                <c:pt idx="10">
                  <c:v>Lager</c:v>
                </c:pt>
                <c:pt idx="11">
                  <c:v>Archiv</c:v>
                </c:pt>
                <c:pt idx="12">
                  <c:v>Technik</c:v>
                </c:pt>
                <c:pt idx="13">
                  <c:v>Serverraum</c:v>
                </c:pt>
              </c:strCache>
            </c:strRef>
          </c:cat>
          <c:val>
            <c:numRef>
              <c:f>Übersicht!$C$35:$C$48</c:f>
              <c:numCache>
                <c:formatCode>#,##0</c:formatCode>
                <c:ptCount val="14"/>
                <c:pt idx="0">
                  <c:v>2</c:v>
                </c:pt>
                <c:pt idx="1">
                  <c:v>3</c:v>
                </c:pt>
                <c:pt idx="2">
                  <c:v>1</c:v>
                </c:pt>
                <c:pt idx="3">
                  <c:v>2</c:v>
                </c:pt>
                <c:pt idx="4">
                  <c:v>1</c:v>
                </c:pt>
                <c:pt idx="5">
                  <c:v>2</c:v>
                </c:pt>
                <c:pt idx="6">
                  <c:v>2</c:v>
                </c:pt>
                <c:pt idx="7">
                  <c:v>1</c:v>
                </c:pt>
                <c:pt idx="8">
                  <c:v>3</c:v>
                </c:pt>
                <c:pt idx="9">
                  <c:v>2</c:v>
                </c:pt>
                <c:pt idx="10">
                  <c:v>3</c:v>
                </c:pt>
                <c:pt idx="11">
                  <c:v>1</c:v>
                </c:pt>
                <c:pt idx="12">
                  <c:v>2</c:v>
                </c:pt>
                <c:pt idx="13">
                  <c:v>1</c:v>
                </c:pt>
              </c:numCache>
            </c:numRef>
          </c:val>
          <c:extLst>
            <c:ext xmlns:c16="http://schemas.microsoft.com/office/drawing/2014/chart" uri="{C3380CC4-5D6E-409C-BE32-E72D297353CC}">
              <c16:uniqueId val="{00000000-97E3-4C1C-8C48-083810A50EDC}"/>
            </c:ext>
          </c:extLst>
        </c:ser>
        <c:dLbls>
          <c:showLegendKey val="0"/>
          <c:showVal val="0"/>
          <c:showCatName val="0"/>
          <c:showSerName val="0"/>
          <c:showPercent val="0"/>
          <c:showBubbleSize val="0"/>
        </c:dLbls>
        <c:gapWidth val="45"/>
        <c:axId val="41040256"/>
        <c:axId val="49779779"/>
      </c:barChart>
      <c:catAx>
        <c:axId val="41040256"/>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49779779"/>
        <c:crosses val="autoZero"/>
        <c:auto val="1"/>
        <c:lblAlgn val="ctr"/>
        <c:lblOffset val="100"/>
        <c:noMultiLvlLbl val="0"/>
      </c:catAx>
      <c:valAx>
        <c:axId val="49779779"/>
        <c:scaling>
          <c:orientation val="minMax"/>
        </c:scaling>
        <c:delete val="0"/>
        <c:axPos val="b"/>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41040256"/>
        <c:crosses val="autoZero"/>
        <c:crossBetween val="between"/>
      </c:valAx>
      <c:spPr>
        <a:noFill/>
        <a:ln w="0">
          <a:noFill/>
        </a:ln>
      </c:spPr>
    </c:plotArea>
    <c:plotVisOnly val="1"/>
    <c:dispBlanksAs val="gap"/>
    <c:showDLblsOverMax val="1"/>
  </c:chart>
  <c:spPr>
    <a:solidFill>
      <a:srgbClr val="FAF6F1"/>
    </a:solidFill>
    <a:ln w="9360">
      <a:solidFill>
        <a:srgbClr val="D9D9D9"/>
      </a:solidFill>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Ausbaukosten je Status (€)</a:t>
            </a:r>
          </a:p>
        </c:rich>
      </c:tx>
      <c:overlay val="0"/>
      <c:spPr>
        <a:noFill/>
        <a:ln w="0">
          <a:noFill/>
        </a:ln>
      </c:spPr>
    </c:title>
    <c:autoTitleDeleted val="0"/>
    <c:plotArea>
      <c:layout/>
      <c:barChart>
        <c:barDir val="col"/>
        <c:grouping val="clustered"/>
        <c:varyColors val="0"/>
        <c:ser>
          <c:idx val="0"/>
          <c:order val="0"/>
          <c:tx>
            <c:strRef>
              <c:f>Übersicht!$F$52</c:f>
              <c:strCache>
                <c:ptCount val="1"/>
                <c:pt idx="0">
                  <c:v>Kosten (€)</c:v>
                </c:pt>
              </c:strCache>
            </c:strRef>
          </c:tx>
          <c:spPr>
            <a:solidFill>
              <a:srgbClr val="8A4726"/>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Übersicht!$B$53:$B$57</c:f>
              <c:strCache>
                <c:ptCount val="5"/>
                <c:pt idx="0">
                  <c:v>In Planung</c:v>
                </c:pt>
                <c:pt idx="1">
                  <c:v>Freigegeben</c:v>
                </c:pt>
                <c:pt idx="2">
                  <c:v>In Ausführung</c:v>
                </c:pt>
                <c:pt idx="3">
                  <c:v>Abgenommen</c:v>
                </c:pt>
                <c:pt idx="4">
                  <c:v>Zurückgestellt</c:v>
                </c:pt>
              </c:strCache>
            </c:strRef>
          </c:cat>
          <c:val>
            <c:numRef>
              <c:f>Übersicht!$F$53:$F$57</c:f>
              <c:numCache>
                <c:formatCode>#,##0" €"</c:formatCode>
                <c:ptCount val="5"/>
                <c:pt idx="0">
                  <c:v>44390</c:v>
                </c:pt>
                <c:pt idx="1">
                  <c:v>20352</c:v>
                </c:pt>
                <c:pt idx="2">
                  <c:v>87161</c:v>
                </c:pt>
                <c:pt idx="3">
                  <c:v>21877</c:v>
                </c:pt>
                <c:pt idx="4">
                  <c:v>1311</c:v>
                </c:pt>
              </c:numCache>
            </c:numRef>
          </c:val>
          <c:extLst>
            <c:ext xmlns:c16="http://schemas.microsoft.com/office/drawing/2014/chart" uri="{C3380CC4-5D6E-409C-BE32-E72D297353CC}">
              <c16:uniqueId val="{00000000-3B63-45E0-98C8-F2133791092F}"/>
            </c:ext>
          </c:extLst>
        </c:ser>
        <c:dLbls>
          <c:showLegendKey val="0"/>
          <c:showVal val="0"/>
          <c:showCatName val="0"/>
          <c:showSerName val="0"/>
          <c:showPercent val="0"/>
          <c:showBubbleSize val="0"/>
        </c:dLbls>
        <c:gapWidth val="45"/>
        <c:axId val="68541791"/>
        <c:axId val="51987370"/>
      </c:barChart>
      <c:catAx>
        <c:axId val="68541791"/>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1987370"/>
        <c:crosses val="autoZero"/>
        <c:auto val="1"/>
        <c:lblAlgn val="ctr"/>
        <c:lblOffset val="100"/>
        <c:noMultiLvlLbl val="0"/>
      </c:catAx>
      <c:valAx>
        <c:axId val="51987370"/>
        <c:scaling>
          <c:orientation val="minMax"/>
        </c:scaling>
        <c:delete val="0"/>
        <c:axPos val="l"/>
        <c:numFmt formatCode="#,##0&quot; €&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68541791"/>
        <c:crosses val="autoZero"/>
        <c:crossBetween val="between"/>
      </c:valAx>
      <c:spPr>
        <a:solidFill>
          <a:schemeClr val="bg1"/>
        </a:solidFill>
        <a:ln w="0">
          <a:noFill/>
        </a:ln>
      </c:spPr>
    </c:plotArea>
    <c:plotVisOnly val="1"/>
    <c:dispBlanksAs val="gap"/>
    <c:showDLblsOverMax val="1"/>
  </c:chart>
  <c:spPr>
    <a:solidFill>
      <a:srgbClr val="FAF6F1"/>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95251</xdr:colOff>
      <xdr:row>21</xdr:row>
      <xdr:rowOff>95250</xdr:rowOff>
    </xdr:from>
    <xdr:to>
      <xdr:col>10</xdr:col>
      <xdr:colOff>990600</xdr:colOff>
      <xdr:row>32</xdr:row>
      <xdr:rowOff>233535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85725</xdr:colOff>
      <xdr:row>33</xdr:row>
      <xdr:rowOff>28575</xdr:rowOff>
    </xdr:from>
    <xdr:to>
      <xdr:col>10</xdr:col>
      <xdr:colOff>990600</xdr:colOff>
      <xdr:row>48</xdr:row>
      <xdr:rowOff>238455</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95250</xdr:colOff>
      <xdr:row>49</xdr:row>
      <xdr:rowOff>9525</xdr:rowOff>
    </xdr:from>
    <xdr:to>
      <xdr:col>11</xdr:col>
      <xdr:colOff>0</xdr:colOff>
      <xdr:row>59</xdr:row>
      <xdr:rowOff>148845</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6233A"/>
    <pageSetUpPr fitToPage="1"/>
  </sheetPr>
  <dimension ref="B1:K74"/>
  <sheetViews>
    <sheetView showGridLines="0" tabSelected="1" zoomScaleNormal="100" workbookViewId="0">
      <selection activeCell="O64" sqref="O64"/>
    </sheetView>
  </sheetViews>
  <sheetFormatPr baseColWidth="10" defaultColWidth="8.7109375" defaultRowHeight="12.75" x14ac:dyDescent="0.2"/>
  <cols>
    <col min="1" max="1" width="2.42578125" customWidth="1"/>
    <col min="2" max="2" width="21" customWidth="1"/>
    <col min="3" max="11" width="15" customWidth="1"/>
    <col min="12" max="12" width="2.42578125" customWidth="1"/>
  </cols>
  <sheetData>
    <row r="1" spans="2:11" ht="6.75" customHeight="1" x14ac:dyDescent="0.25">
      <c r="B1" s="15"/>
      <c r="C1" s="15"/>
      <c r="D1" s="15"/>
      <c r="E1" s="15"/>
      <c r="F1" s="15"/>
      <c r="G1" s="15"/>
      <c r="H1" s="15"/>
      <c r="I1" s="15"/>
      <c r="J1" s="15"/>
      <c r="K1" s="15"/>
    </row>
    <row r="2" spans="2:11" ht="33.75" customHeight="1" x14ac:dyDescent="0.2">
      <c r="B2" s="14" t="s">
        <v>318</v>
      </c>
      <c r="C2" s="14"/>
      <c r="D2" s="14"/>
      <c r="E2" s="14"/>
      <c r="F2" s="14"/>
      <c r="G2" s="13" t="s">
        <v>1</v>
      </c>
      <c r="H2" s="13"/>
      <c r="I2" s="13"/>
      <c r="J2" s="13"/>
      <c r="K2" s="13"/>
    </row>
    <row r="3" spans="2:11" ht="18" customHeight="1" x14ac:dyDescent="0.25">
      <c r="B3" s="12" t="s">
        <v>2</v>
      </c>
      <c r="C3" s="12"/>
      <c r="D3" s="12"/>
      <c r="E3" s="12"/>
      <c r="F3" s="12"/>
      <c r="G3" s="12"/>
      <c r="H3" s="12"/>
      <c r="I3" s="12"/>
      <c r="J3" s="12"/>
      <c r="K3" s="12"/>
    </row>
    <row r="4" spans="2:11" ht="4.5" customHeight="1" x14ac:dyDescent="0.25">
      <c r="B4" s="16"/>
      <c r="C4" s="16"/>
      <c r="D4" s="16"/>
      <c r="E4" s="16"/>
      <c r="F4" s="16"/>
      <c r="G4" s="16"/>
      <c r="H4" s="16"/>
      <c r="I4" s="16"/>
      <c r="J4" s="16"/>
      <c r="K4" s="16"/>
    </row>
    <row r="6" spans="2:11" ht="19.5" customHeight="1" x14ac:dyDescent="0.2">
      <c r="B6" s="11" t="s">
        <v>3</v>
      </c>
      <c r="C6" s="11"/>
      <c r="D6" s="11"/>
      <c r="E6" s="11"/>
      <c r="F6" s="11"/>
      <c r="G6" s="11"/>
      <c r="H6" s="11"/>
      <c r="I6" s="11"/>
      <c r="J6" s="11"/>
      <c r="K6" s="11"/>
    </row>
    <row r="7" spans="2:11" ht="18.75" customHeight="1" x14ac:dyDescent="0.2">
      <c r="B7" s="18" t="s">
        <v>4</v>
      </c>
      <c r="C7" s="10" t="s">
        <v>5</v>
      </c>
      <c r="D7" s="10"/>
      <c r="E7" s="10"/>
      <c r="F7" s="10"/>
      <c r="G7" s="18" t="s">
        <v>6</v>
      </c>
      <c r="H7" s="10" t="s">
        <v>7</v>
      </c>
      <c r="I7" s="10"/>
      <c r="J7" s="10"/>
      <c r="K7" s="10"/>
    </row>
    <row r="8" spans="2:11" ht="18.75" customHeight="1" x14ac:dyDescent="0.2">
      <c r="B8" s="18" t="s">
        <v>8</v>
      </c>
      <c r="C8" s="10" t="s">
        <v>9</v>
      </c>
      <c r="D8" s="10"/>
      <c r="E8" s="10"/>
      <c r="F8" s="10"/>
      <c r="G8" s="18" t="s">
        <v>10</v>
      </c>
      <c r="H8" s="10" t="s">
        <v>11</v>
      </c>
      <c r="I8" s="10"/>
      <c r="J8" s="10"/>
      <c r="K8" s="10"/>
    </row>
    <row r="9" spans="2:11" ht="18.75" customHeight="1" x14ac:dyDescent="0.2">
      <c r="B9" s="18" t="s">
        <v>12</v>
      </c>
      <c r="C9" s="10" t="s">
        <v>13</v>
      </c>
      <c r="D9" s="10"/>
      <c r="E9" s="10"/>
      <c r="F9" s="10"/>
      <c r="G9" s="18" t="s">
        <v>14</v>
      </c>
      <c r="H9" s="10" t="s">
        <v>15</v>
      </c>
      <c r="I9" s="10"/>
      <c r="J9" s="10"/>
      <c r="K9" s="10"/>
    </row>
    <row r="10" spans="2:11" ht="18.75" customHeight="1" x14ac:dyDescent="0.2">
      <c r="B10" s="18" t="s">
        <v>16</v>
      </c>
      <c r="C10" s="10" t="s">
        <v>17</v>
      </c>
      <c r="D10" s="10"/>
      <c r="E10" s="10"/>
      <c r="F10" s="10"/>
      <c r="G10" s="18" t="s">
        <v>18</v>
      </c>
      <c r="H10" s="9">
        <f ca="1">TODAY()</f>
        <v>46256</v>
      </c>
      <c r="I10" s="9"/>
      <c r="J10" s="9"/>
      <c r="K10" s="9"/>
    </row>
    <row r="11" spans="2:11" ht="18.75" customHeight="1" x14ac:dyDescent="0.2">
      <c r="B11" s="18" t="s">
        <v>19</v>
      </c>
      <c r="C11" s="10" t="s">
        <v>20</v>
      </c>
      <c r="D11" s="10"/>
      <c r="E11" s="10"/>
      <c r="F11" s="10"/>
      <c r="G11" s="18" t="s">
        <v>21</v>
      </c>
      <c r="H11" s="10" t="s">
        <v>22</v>
      </c>
      <c r="I11" s="10"/>
      <c r="J11" s="10"/>
      <c r="K11" s="10"/>
    </row>
    <row r="13" spans="2:11" ht="19.5" customHeight="1" x14ac:dyDescent="0.2">
      <c r="B13" s="11" t="s">
        <v>23</v>
      </c>
      <c r="C13" s="11"/>
      <c r="D13" s="11"/>
      <c r="E13" s="11"/>
      <c r="F13" s="11"/>
      <c r="G13" s="11"/>
      <c r="H13" s="11"/>
      <c r="I13" s="11"/>
      <c r="J13" s="11"/>
      <c r="K13" s="11"/>
    </row>
    <row r="14" spans="2:11" ht="15" customHeight="1" x14ac:dyDescent="0.2">
      <c r="B14" s="8" t="s">
        <v>24</v>
      </c>
      <c r="C14" s="8"/>
      <c r="D14" s="8" t="s">
        <v>25</v>
      </c>
      <c r="E14" s="8"/>
      <c r="F14" s="8" t="s">
        <v>26</v>
      </c>
      <c r="G14" s="8"/>
      <c r="H14" s="8" t="s">
        <v>27</v>
      </c>
      <c r="I14" s="8"/>
      <c r="J14" s="8" t="s">
        <v>28</v>
      </c>
      <c r="K14" s="8"/>
    </row>
    <row r="15" spans="2:11" ht="27" customHeight="1" x14ac:dyDescent="0.2">
      <c r="B15" s="7">
        <f>COUNTA(Raumbuch!$D$6:$D$85)</f>
        <v>26</v>
      </c>
      <c r="C15" s="7"/>
      <c r="D15" s="6">
        <f>ROUND(SUM(Raumbuch!$J$6:$J$85),2)</f>
        <v>885.98</v>
      </c>
      <c r="E15" s="6"/>
      <c r="F15" s="6">
        <f>ROUND(SUM(Raumbuch!$L$6:$L$85),2)</f>
        <v>2624.37</v>
      </c>
      <c r="G15" s="6"/>
      <c r="H15" s="6">
        <f>IFERROR(ROUND(SUM(Raumbuch!$J$6:$J$85)/COUNTA(Raumbuch!$D$6:$D$85),2),0)</f>
        <v>34.08</v>
      </c>
      <c r="I15" s="6"/>
      <c r="J15" s="7">
        <f>SUM(Raumbuch!$X$6:$X$85)</f>
        <v>78</v>
      </c>
      <c r="K15" s="7"/>
    </row>
    <row r="16" spans="2:11" ht="13.5" customHeight="1" x14ac:dyDescent="0.2">
      <c r="B16" s="5" t="s">
        <v>29</v>
      </c>
      <c r="C16" s="5"/>
      <c r="D16" s="5" t="s">
        <v>30</v>
      </c>
      <c r="E16" s="5"/>
      <c r="F16" s="5" t="s">
        <v>31</v>
      </c>
      <c r="G16" s="5"/>
      <c r="H16" s="5" t="s">
        <v>32</v>
      </c>
      <c r="I16" s="5"/>
      <c r="J16" s="5" t="s">
        <v>33</v>
      </c>
      <c r="K16" s="5"/>
    </row>
    <row r="17" spans="2:11" ht="6" customHeight="1" x14ac:dyDescent="0.2"/>
    <row r="18" spans="2:11" ht="15" customHeight="1" x14ac:dyDescent="0.2">
      <c r="B18" s="8" t="s">
        <v>34</v>
      </c>
      <c r="C18" s="8"/>
      <c r="D18" s="8" t="s">
        <v>35</v>
      </c>
      <c r="E18" s="8"/>
      <c r="F18" s="8" t="s">
        <v>36</v>
      </c>
      <c r="G18" s="8"/>
      <c r="H18" s="8" t="s">
        <v>37</v>
      </c>
      <c r="I18" s="8"/>
      <c r="J18" s="8" t="s">
        <v>38</v>
      </c>
      <c r="K18" s="8"/>
    </row>
    <row r="19" spans="2:11" ht="27" customHeight="1" x14ac:dyDescent="0.2">
      <c r="B19" s="4">
        <f>ROUND(SUM(Raumbuch!$AC$6:$AC$85),0)</f>
        <v>175091</v>
      </c>
      <c r="C19" s="4"/>
      <c r="D19" s="3">
        <f>IFERROR(ROUND(SUM(Raumbuch!$AC$6:$AC$85)/SUM(Raumbuch!$J$6:$J$85),2),0)</f>
        <v>197.62</v>
      </c>
      <c r="E19" s="3"/>
      <c r="F19" s="7">
        <f>COUNTIF(Raumbuch!$AE$6:$AE$85,"Abgenommen")</f>
        <v>5</v>
      </c>
      <c r="G19" s="7"/>
      <c r="H19" s="7">
        <f ca="1">COUNTIF(Raumbuch!$AH$6:$AH$85,"Überfällig")</f>
        <v>2</v>
      </c>
      <c r="I19" s="7"/>
      <c r="J19" s="2">
        <f>IFERROR(ROUND(AVERAGE(Raumbuch!$AI$6:$AI$85),2),0)</f>
        <v>1</v>
      </c>
      <c r="K19" s="2"/>
    </row>
    <row r="20" spans="2:11" ht="13.5" customHeight="1" x14ac:dyDescent="0.2">
      <c r="B20" s="5" t="s">
        <v>39</v>
      </c>
      <c r="C20" s="5"/>
      <c r="D20" s="5" t="s">
        <v>40</v>
      </c>
      <c r="E20" s="5"/>
      <c r="F20" s="5" t="s">
        <v>41</v>
      </c>
      <c r="G20" s="5"/>
      <c r="H20" s="5" t="s">
        <v>42</v>
      </c>
      <c r="I20" s="5"/>
      <c r="J20" s="5" t="s">
        <v>43</v>
      </c>
      <c r="K20" s="5"/>
    </row>
    <row r="21" spans="2:11" ht="6" customHeight="1" x14ac:dyDescent="0.2"/>
    <row r="23" spans="2:11" ht="19.5" customHeight="1" x14ac:dyDescent="0.2">
      <c r="B23" s="11" t="s">
        <v>44</v>
      </c>
      <c r="C23" s="11"/>
      <c r="D23" s="11"/>
      <c r="E23" s="11"/>
      <c r="F23" s="11"/>
    </row>
    <row r="24" spans="2:11" ht="21.75" customHeight="1" x14ac:dyDescent="0.2">
      <c r="B24" s="20" t="s">
        <v>45</v>
      </c>
      <c r="C24" s="20" t="s">
        <v>46</v>
      </c>
      <c r="D24" s="20" t="s">
        <v>47</v>
      </c>
      <c r="E24" s="20" t="s">
        <v>48</v>
      </c>
      <c r="F24" s="20" t="s">
        <v>49</v>
      </c>
    </row>
    <row r="25" spans="2:11" ht="16.5" customHeight="1" x14ac:dyDescent="0.2">
      <c r="B25" s="19" t="s">
        <v>50</v>
      </c>
      <c r="C25" s="21">
        <f>IF($B25="","",COUNTIF(Raumbuch!$C$6:$C$85,$B25))</f>
        <v>3</v>
      </c>
      <c r="D25" s="22">
        <f>IF($B25="","",ROUND(SUMIF(Raumbuch!$C$6:$C$85,$B25,Raumbuch!$J$6:$J$85),2))</f>
        <v>96.96</v>
      </c>
      <c r="E25" s="23">
        <f t="shared" ref="E25:E30" si="0">IFERROR($D25/$D$31,0)</f>
        <v>0.10943813630104517</v>
      </c>
      <c r="F25" s="24">
        <f>IF($B25="","",ROUND(SUMIF(Raumbuch!$C$6:$C$85,$B25,Raumbuch!$AC$6:$AC$85),0))</f>
        <v>6207</v>
      </c>
    </row>
    <row r="26" spans="2:11" ht="16.5" customHeight="1" x14ac:dyDescent="0.2">
      <c r="B26" s="19" t="s">
        <v>51</v>
      </c>
      <c r="C26" s="21">
        <f>IF($B26="","",COUNTIF(Raumbuch!$C$6:$C$85,$B26))</f>
        <v>10</v>
      </c>
      <c r="D26" s="22">
        <f>IF($B26="","",ROUND(SUMIF(Raumbuch!$C$6:$C$85,$B26,Raumbuch!$J$6:$J$85),2))</f>
        <v>273.94</v>
      </c>
      <c r="E26" s="23">
        <f t="shared" si="0"/>
        <v>0.30919433847265176</v>
      </c>
      <c r="F26" s="24">
        <f>IF($B26="","",ROUND(SUMIF(Raumbuch!$C$6:$C$85,$B26,Raumbuch!$AC$6:$AC$85),0))</f>
        <v>79581</v>
      </c>
    </row>
    <row r="27" spans="2:11" ht="16.5" customHeight="1" x14ac:dyDescent="0.2">
      <c r="B27" s="19" t="s">
        <v>52</v>
      </c>
      <c r="C27" s="21">
        <f>IF($B27="","",COUNTIF(Raumbuch!$C$6:$C$85,$B27))</f>
        <v>8</v>
      </c>
      <c r="D27" s="22">
        <f>IF($B27="","",ROUND(SUMIF(Raumbuch!$C$6:$C$85,$B27,Raumbuch!$J$6:$J$85),2))</f>
        <v>309.04000000000002</v>
      </c>
      <c r="E27" s="23">
        <f t="shared" si="0"/>
        <v>0.34881148558658209</v>
      </c>
      <c r="F27" s="24">
        <f>IF($B27="","",ROUND(SUMIF(Raumbuch!$C$6:$C$85,$B27,Raumbuch!$AC$6:$AC$85),0))</f>
        <v>42120</v>
      </c>
    </row>
    <row r="28" spans="2:11" ht="16.5" customHeight="1" x14ac:dyDescent="0.2">
      <c r="B28" s="19" t="s">
        <v>53</v>
      </c>
      <c r="C28" s="21">
        <f>IF($B28="","",COUNTIF(Raumbuch!$C$6:$C$85,$B28))</f>
        <v>4</v>
      </c>
      <c r="D28" s="22">
        <f>IF($B28="","",ROUND(SUMIF(Raumbuch!$C$6:$C$85,$B28,Raumbuch!$J$6:$J$85),2))</f>
        <v>164.6</v>
      </c>
      <c r="E28" s="23">
        <f t="shared" si="0"/>
        <v>0.18578297478498385</v>
      </c>
      <c r="F28" s="24">
        <f>IF($B28="","",ROUND(SUMIF(Raumbuch!$C$6:$C$85,$B28,Raumbuch!$AC$6:$AC$85),0))</f>
        <v>47183</v>
      </c>
    </row>
    <row r="29" spans="2:11" ht="16.5" customHeight="1" x14ac:dyDescent="0.2">
      <c r="B29" s="19" t="s">
        <v>54</v>
      </c>
      <c r="C29" s="21">
        <f>IF($B29="","",COUNTIF(Raumbuch!$C$6:$C$85,$B29))</f>
        <v>0</v>
      </c>
      <c r="D29" s="22">
        <f>IF($B29="","",ROUND(SUMIF(Raumbuch!$C$6:$C$85,$B29,Raumbuch!$J$6:$J$85),2))</f>
        <v>0</v>
      </c>
      <c r="E29" s="23">
        <f t="shared" si="0"/>
        <v>0</v>
      </c>
      <c r="F29" s="24">
        <f>IF($B29="","",ROUND(SUMIF(Raumbuch!$C$6:$C$85,$B29,Raumbuch!$AC$6:$AC$85),0))</f>
        <v>0</v>
      </c>
    </row>
    <row r="30" spans="2:11" ht="16.5" customHeight="1" x14ac:dyDescent="0.2">
      <c r="B30" s="19" t="s">
        <v>55</v>
      </c>
      <c r="C30" s="21">
        <f>IF($B30="","",COUNTIF(Raumbuch!$C$6:$C$85,$B30))</f>
        <v>1</v>
      </c>
      <c r="D30" s="22">
        <f>IF($B30="","",ROUND(SUMIF(Raumbuch!$C$6:$C$85,$B30,Raumbuch!$J$6:$J$85),2))</f>
        <v>41.44</v>
      </c>
      <c r="E30" s="23">
        <f t="shared" si="0"/>
        <v>4.6773064854737124E-2</v>
      </c>
      <c r="F30" s="24">
        <f>IF($B30="","",ROUND(SUMIF(Raumbuch!$C$6:$C$85,$B30,Raumbuch!$AC$6:$AC$85),0))</f>
        <v>0</v>
      </c>
    </row>
    <row r="31" spans="2:11" ht="19.5" customHeight="1" x14ac:dyDescent="0.2">
      <c r="B31" s="25" t="s">
        <v>56</v>
      </c>
      <c r="C31" s="26">
        <f>SUM(C25:C30)</f>
        <v>26</v>
      </c>
      <c r="D31" s="27">
        <f>ROUND(SUM(D25:D30),2)</f>
        <v>885.98</v>
      </c>
      <c r="E31" s="28">
        <f>IFERROR(SUM(E25:E30),0)</f>
        <v>0.99999999999999989</v>
      </c>
      <c r="F31" s="29">
        <f>SUM(F25:F30)</f>
        <v>175091</v>
      </c>
    </row>
    <row r="33" spans="2:6" ht="19.5" customHeight="1" x14ac:dyDescent="0.2">
      <c r="B33" s="11" t="s">
        <v>57</v>
      </c>
      <c r="C33" s="11"/>
      <c r="D33" s="11"/>
      <c r="E33" s="11"/>
      <c r="F33" s="11"/>
    </row>
    <row r="34" spans="2:6" ht="21.75" customHeight="1" x14ac:dyDescent="0.2">
      <c r="B34" s="20" t="s">
        <v>58</v>
      </c>
      <c r="C34" s="20" t="s">
        <v>46</v>
      </c>
      <c r="D34" s="20" t="s">
        <v>47</v>
      </c>
      <c r="E34" s="20" t="s">
        <v>48</v>
      </c>
      <c r="F34" s="20" t="s">
        <v>49</v>
      </c>
    </row>
    <row r="35" spans="2:6" ht="16.5" customHeight="1" x14ac:dyDescent="0.2">
      <c r="B35" s="19" t="s">
        <v>59</v>
      </c>
      <c r="C35" s="21">
        <f>IF($B35="","",COUNTIF(Raumbuch!$E$6:$E$85,$B35))</f>
        <v>2</v>
      </c>
      <c r="D35" s="22">
        <f>IF($B35="","",ROUND(SUMIF(Raumbuch!$E$6:$E$85,$B35,Raumbuch!$J$6:$J$85),2))</f>
        <v>34.56</v>
      </c>
      <c r="E35" s="23">
        <f t="shared" ref="E35:E48" si="1">IFERROR($D35/$D$49,0)</f>
        <v>3.9007652542946795E-2</v>
      </c>
      <c r="F35" s="24">
        <f>IF($B35="","",ROUND(SUMIF(Raumbuch!$E$6:$E$85,$B35,Raumbuch!$AC$6:$AC$85),0))</f>
        <v>5689</v>
      </c>
    </row>
    <row r="36" spans="2:6" ht="16.5" customHeight="1" x14ac:dyDescent="0.2">
      <c r="B36" s="19" t="s">
        <v>60</v>
      </c>
      <c r="C36" s="21">
        <f>IF($B36="","",COUNTIF(Raumbuch!$E$6:$E$85,$B36))</f>
        <v>3</v>
      </c>
      <c r="D36" s="22">
        <f>IF($B36="","",ROUND(SUMIF(Raumbuch!$E$6:$E$85,$B36,Raumbuch!$J$6:$J$85),2))</f>
        <v>104.72</v>
      </c>
      <c r="E36" s="23">
        <f t="shared" si="1"/>
        <v>0.11819679902480869</v>
      </c>
      <c r="F36" s="24">
        <f>IF($B36="","",ROUND(SUMIF(Raumbuch!$E$6:$E$85,$B36,Raumbuch!$AC$6:$AC$85),0))</f>
        <v>15122</v>
      </c>
    </row>
    <row r="37" spans="2:6" ht="16.5" customHeight="1" x14ac:dyDescent="0.2">
      <c r="B37" s="19" t="s">
        <v>61</v>
      </c>
      <c r="C37" s="21">
        <f>IF($B37="","",COUNTIF(Raumbuch!$E$6:$E$85,$B37))</f>
        <v>1</v>
      </c>
      <c r="D37" s="22">
        <f>IF($B37="","",ROUND(SUMIF(Raumbuch!$E$6:$E$85,$B37,Raumbuch!$J$6:$J$85),2))</f>
        <v>134.32</v>
      </c>
      <c r="E37" s="23">
        <f t="shared" si="1"/>
        <v>0.15160613106390664</v>
      </c>
      <c r="F37" s="24">
        <f>IF($B37="","",ROUND(SUMIF(Raumbuch!$E$6:$E$85,$B37,Raumbuch!$AC$6:$AC$85),0))</f>
        <v>15722</v>
      </c>
    </row>
    <row r="38" spans="2:6" ht="16.5" customHeight="1" x14ac:dyDescent="0.2">
      <c r="B38" s="19" t="s">
        <v>62</v>
      </c>
      <c r="C38" s="21">
        <f>IF($B38="","",COUNTIF(Raumbuch!$E$6:$E$85,$B38))</f>
        <v>2</v>
      </c>
      <c r="D38" s="22">
        <f>IF($B38="","",ROUND(SUMIF(Raumbuch!$E$6:$E$85,$B38,Raumbuch!$J$6:$J$85),2))</f>
        <v>68.319999999999993</v>
      </c>
      <c r="E38" s="23">
        <f t="shared" si="1"/>
        <v>7.7112350165917956E-2</v>
      </c>
      <c r="F38" s="24">
        <f>IF($B38="","",ROUND(SUMIF(Raumbuch!$E$6:$E$85,$B38,Raumbuch!$AC$6:$AC$85),0))</f>
        <v>28404</v>
      </c>
    </row>
    <row r="39" spans="2:6" ht="16.5" customHeight="1" x14ac:dyDescent="0.2">
      <c r="B39" s="19" t="s">
        <v>63</v>
      </c>
      <c r="C39" s="21">
        <f>IF($B39="","",COUNTIF(Raumbuch!$E$6:$E$85,$B39))</f>
        <v>1</v>
      </c>
      <c r="D39" s="22">
        <f>IF($B39="","",ROUND(SUMIF(Raumbuch!$E$6:$E$85,$B39,Raumbuch!$J$6:$J$85),2))</f>
        <v>79.040000000000006</v>
      </c>
      <c r="E39" s="23">
        <f t="shared" si="1"/>
        <v>8.9211946093591288E-2</v>
      </c>
      <c r="F39" s="24">
        <f>IF($B39="","",ROUND(SUMIF(Raumbuch!$E$6:$E$85,$B39,Raumbuch!$AC$6:$AC$85),0))</f>
        <v>26118</v>
      </c>
    </row>
    <row r="40" spans="2:6" ht="16.5" customHeight="1" x14ac:dyDescent="0.2">
      <c r="B40" s="19" t="s">
        <v>64</v>
      </c>
      <c r="C40" s="21">
        <f>IF($B40="","",COUNTIF(Raumbuch!$E$6:$E$85,$B40))</f>
        <v>2</v>
      </c>
      <c r="D40" s="22">
        <f>IF($B40="","",ROUND(SUMIF(Raumbuch!$E$6:$E$85,$B40,Raumbuch!$J$6:$J$85),2))</f>
        <v>87.88</v>
      </c>
      <c r="E40" s="23">
        <f t="shared" si="1"/>
        <v>9.9189597959321876E-2</v>
      </c>
      <c r="F40" s="24">
        <f>IF($B40="","",ROUND(SUMIF(Raumbuch!$E$6:$E$85,$B40,Raumbuch!$AC$6:$AC$85),0))</f>
        <v>18007</v>
      </c>
    </row>
    <row r="41" spans="2:6" ht="16.5" customHeight="1" x14ac:dyDescent="0.2">
      <c r="B41" s="19" t="s">
        <v>65</v>
      </c>
      <c r="C41" s="21">
        <f>IF($B41="","",COUNTIF(Raumbuch!$E$6:$E$85,$B41))</f>
        <v>2</v>
      </c>
      <c r="D41" s="22">
        <f>IF($B41="","",ROUND(SUMIF(Raumbuch!$E$6:$E$85,$B41,Raumbuch!$J$6:$J$85),2))</f>
        <v>88.8</v>
      </c>
      <c r="E41" s="23">
        <f t="shared" si="1"/>
        <v>0.10022799611729384</v>
      </c>
      <c r="F41" s="24">
        <f>IF($B41="","",ROUND(SUMIF(Raumbuch!$E$6:$E$85,$B41,Raumbuch!$AC$6:$AC$85),0))</f>
        <v>16205</v>
      </c>
    </row>
    <row r="42" spans="2:6" ht="16.5" customHeight="1" x14ac:dyDescent="0.2">
      <c r="B42" s="19" t="s">
        <v>66</v>
      </c>
      <c r="C42" s="21">
        <f>IF($B42="","",COUNTIF(Raumbuch!$E$6:$E$85,$B42))</f>
        <v>1</v>
      </c>
      <c r="D42" s="22">
        <f>IF($B42="","",ROUND(SUMIF(Raumbuch!$E$6:$E$85,$B42,Raumbuch!$J$6:$J$85),2))</f>
        <v>26.68</v>
      </c>
      <c r="E42" s="23">
        <f t="shared" si="1"/>
        <v>3.0113546581186933E-2</v>
      </c>
      <c r="F42" s="24">
        <f>IF($B42="","",ROUND(SUMIF(Raumbuch!$E$6:$E$85,$B42,Raumbuch!$AC$6:$AC$85),0))</f>
        <v>3448</v>
      </c>
    </row>
    <row r="43" spans="2:6" ht="16.5" customHeight="1" x14ac:dyDescent="0.2">
      <c r="B43" s="19" t="s">
        <v>67</v>
      </c>
      <c r="C43" s="21">
        <f>IF($B43="","",COUNTIF(Raumbuch!$E$6:$E$85,$B43))</f>
        <v>3</v>
      </c>
      <c r="D43" s="22">
        <f>IF($B43="","",ROUND(SUMIF(Raumbuch!$E$6:$E$85,$B43,Raumbuch!$J$6:$J$85),2))</f>
        <v>31.02</v>
      </c>
      <c r="E43" s="23">
        <f t="shared" si="1"/>
        <v>3.5012077022054673E-2</v>
      </c>
      <c r="F43" s="24">
        <f>IF($B43="","",ROUND(SUMIF(Raumbuch!$E$6:$E$85,$B43,Raumbuch!$AC$6:$AC$85),0))</f>
        <v>14078</v>
      </c>
    </row>
    <row r="44" spans="2:6" ht="16.5" customHeight="1" x14ac:dyDescent="0.2">
      <c r="B44" s="19" t="s">
        <v>68</v>
      </c>
      <c r="C44" s="21">
        <f>IF($B44="","",COUNTIF(Raumbuch!$E$6:$E$85,$B44))</f>
        <v>2</v>
      </c>
      <c r="D44" s="22">
        <f>IF($B44="","",ROUND(SUMIF(Raumbuch!$E$6:$E$85,$B44,Raumbuch!$J$6:$J$85),2))</f>
        <v>47</v>
      </c>
      <c r="E44" s="23">
        <f t="shared" si="1"/>
        <v>5.3048601548567685E-2</v>
      </c>
      <c r="F44" s="24">
        <f>IF($B44="","",ROUND(SUMIF(Raumbuch!$E$6:$E$85,$B44,Raumbuch!$AC$6:$AC$85),0))</f>
        <v>16866</v>
      </c>
    </row>
    <row r="45" spans="2:6" ht="16.5" customHeight="1" x14ac:dyDescent="0.2">
      <c r="B45" s="19" t="s">
        <v>69</v>
      </c>
      <c r="C45" s="21">
        <f>IF($B45="","",COUNTIF(Raumbuch!$E$6:$E$85,$B45))</f>
        <v>3</v>
      </c>
      <c r="D45" s="22">
        <f>IF($B45="","",ROUND(SUMIF(Raumbuch!$E$6:$E$85,$B45,Raumbuch!$J$6:$J$85),2))</f>
        <v>51.28</v>
      </c>
      <c r="E45" s="23">
        <f t="shared" si="1"/>
        <v>5.7879410370437256E-2</v>
      </c>
      <c r="F45" s="24">
        <f>IF($B45="","",ROUND(SUMIF(Raumbuch!$E$6:$E$85,$B45,Raumbuch!$AC$6:$AC$85),0))</f>
        <v>5294</v>
      </c>
    </row>
    <row r="46" spans="2:6" ht="16.5" customHeight="1" x14ac:dyDescent="0.2">
      <c r="B46" s="19" t="s">
        <v>70</v>
      </c>
      <c r="C46" s="21">
        <f>IF($B46="","",COUNTIF(Raumbuch!$E$6:$E$85,$B46))</f>
        <v>1</v>
      </c>
      <c r="D46" s="22">
        <f>IF($B46="","",ROUND(SUMIF(Raumbuch!$E$6:$E$85,$B46,Raumbuch!$J$6:$J$85),2))</f>
        <v>43.68</v>
      </c>
      <c r="E46" s="23">
        <f t="shared" si="1"/>
        <v>4.9301338630668864E-2</v>
      </c>
      <c r="F46" s="24">
        <f>IF($B46="","",ROUND(SUMIF(Raumbuch!$E$6:$E$85,$B46,Raumbuch!$AC$6:$AC$85),0))</f>
        <v>2553</v>
      </c>
    </row>
    <row r="47" spans="2:6" ht="16.5" customHeight="1" x14ac:dyDescent="0.2">
      <c r="B47" s="19" t="s">
        <v>71</v>
      </c>
      <c r="C47" s="21">
        <f>IF($B47="","",COUNTIF(Raumbuch!$E$6:$E$85,$B47))</f>
        <v>2</v>
      </c>
      <c r="D47" s="22">
        <f>IF($B47="","",ROUND(SUMIF(Raumbuch!$E$6:$E$85,$B47,Raumbuch!$J$6:$J$85),2))</f>
        <v>71.2</v>
      </c>
      <c r="E47" s="23">
        <f t="shared" si="1"/>
        <v>8.0362987877830194E-2</v>
      </c>
      <c r="F47" s="24">
        <f>IF($B47="","",ROUND(SUMIF(Raumbuch!$E$6:$E$85,$B47,Raumbuch!$AC$6:$AC$85),0))</f>
        <v>2055</v>
      </c>
    </row>
    <row r="48" spans="2:6" ht="16.5" customHeight="1" x14ac:dyDescent="0.2">
      <c r="B48" s="19" t="s">
        <v>72</v>
      </c>
      <c r="C48" s="21">
        <f>IF($B48="","",COUNTIF(Raumbuch!$E$6:$E$85,$B48))</f>
        <v>1</v>
      </c>
      <c r="D48" s="22">
        <f>IF($B48="","",ROUND(SUMIF(Raumbuch!$E$6:$E$85,$B48,Raumbuch!$J$6:$J$85),2))</f>
        <v>17.48</v>
      </c>
      <c r="E48" s="23">
        <f t="shared" si="1"/>
        <v>1.9729565001467303E-2</v>
      </c>
      <c r="F48" s="24">
        <f>IF($B48="","",ROUND(SUMIF(Raumbuch!$E$6:$E$85,$B48,Raumbuch!$AC$6:$AC$85),0))</f>
        <v>5530</v>
      </c>
    </row>
    <row r="49" spans="2:11" ht="19.5" customHeight="1" x14ac:dyDescent="0.2">
      <c r="B49" s="25" t="s">
        <v>56</v>
      </c>
      <c r="C49" s="26">
        <f>SUM(C35:C48)</f>
        <v>26</v>
      </c>
      <c r="D49" s="27">
        <f>ROUND(SUM(D35:D48),2)</f>
        <v>885.98</v>
      </c>
      <c r="E49" s="28">
        <f>IFERROR(SUM(E35:E48),0)</f>
        <v>1</v>
      </c>
      <c r="F49" s="29">
        <f>SUM(F35:F48)</f>
        <v>175091</v>
      </c>
    </row>
    <row r="51" spans="2:11" ht="19.5" customHeight="1" x14ac:dyDescent="0.2">
      <c r="B51" s="11" t="s">
        <v>73</v>
      </c>
      <c r="C51" s="11"/>
      <c r="D51" s="11"/>
      <c r="E51" s="11"/>
      <c r="F51" s="11"/>
    </row>
    <row r="52" spans="2:11" ht="21.75" customHeight="1" x14ac:dyDescent="0.2">
      <c r="B52" s="20" t="s">
        <v>74</v>
      </c>
      <c r="C52" s="20" t="s">
        <v>46</v>
      </c>
      <c r="D52" s="20" t="s">
        <v>47</v>
      </c>
      <c r="E52" s="20" t="s">
        <v>48</v>
      </c>
      <c r="F52" s="20" t="s">
        <v>49</v>
      </c>
    </row>
    <row r="53" spans="2:11" ht="16.5" customHeight="1" x14ac:dyDescent="0.2">
      <c r="B53" s="19" t="s">
        <v>75</v>
      </c>
      <c r="C53" s="21">
        <f>IF($B53="","",COUNTIF(Raumbuch!$AE$6:$AE$85,$B53))</f>
        <v>4</v>
      </c>
      <c r="D53" s="22">
        <f>IF($B53="","",ROUND(SUMIF(Raumbuch!$AE$6:$AE$85,$B53,Raumbuch!$J$6:$J$85),2))</f>
        <v>162.96</v>
      </c>
      <c r="E53" s="23">
        <f>IFERROR($D53/$D$58,0)</f>
        <v>0.18393191719903385</v>
      </c>
      <c r="F53" s="24">
        <f>IF($B53="","",ROUND(SUMIF(Raumbuch!$AE$6:$AE$85,$B53,Raumbuch!$AC$6:$AC$85),0))</f>
        <v>44390</v>
      </c>
    </row>
    <row r="54" spans="2:11" ht="16.5" customHeight="1" x14ac:dyDescent="0.2">
      <c r="B54" s="19" t="s">
        <v>76</v>
      </c>
      <c r="C54" s="21">
        <f>IF($B54="","",COUNTIF(Raumbuch!$AE$6:$AE$85,$B54))</f>
        <v>6</v>
      </c>
      <c r="D54" s="22">
        <f>IF($B54="","",ROUND(SUMIF(Raumbuch!$AE$6:$AE$85,$B54,Raumbuch!$J$6:$J$85),2))</f>
        <v>126.56</v>
      </c>
      <c r="E54" s="23">
        <f>IFERROR($D54/$D$58,0)</f>
        <v>0.14284746834014311</v>
      </c>
      <c r="F54" s="24">
        <f>IF($B54="","",ROUND(SUMIF(Raumbuch!$AE$6:$AE$85,$B54,Raumbuch!$AC$6:$AC$85),0))</f>
        <v>20352</v>
      </c>
    </row>
    <row r="55" spans="2:11" ht="16.5" customHeight="1" x14ac:dyDescent="0.2">
      <c r="B55" s="19" t="s">
        <v>77</v>
      </c>
      <c r="C55" s="21">
        <f>IF($B55="","",COUNTIF(Raumbuch!$AE$6:$AE$85,$B55))</f>
        <v>9</v>
      </c>
      <c r="D55" s="22">
        <f>IF($B55="","",ROUND(SUMIF(Raumbuch!$AE$6:$AE$85,$B55,Raumbuch!$J$6:$J$85),2))</f>
        <v>394.58</v>
      </c>
      <c r="E55" s="23">
        <f>IFERROR($D55/$D$58,0)</f>
        <v>0.44535994040497523</v>
      </c>
      <c r="F55" s="24">
        <f>IF($B55="","",ROUND(SUMIF(Raumbuch!$AE$6:$AE$85,$B55,Raumbuch!$AC$6:$AC$85),0))</f>
        <v>87161</v>
      </c>
    </row>
    <row r="56" spans="2:11" ht="16.5" customHeight="1" x14ac:dyDescent="0.2">
      <c r="B56" s="19" t="s">
        <v>78</v>
      </c>
      <c r="C56" s="21">
        <f>IF($B56="","",COUNTIF(Raumbuch!$AE$6:$AE$85,$B56))</f>
        <v>5</v>
      </c>
      <c r="D56" s="22">
        <f>IF($B56="","",ROUND(SUMIF(Raumbuch!$AE$6:$AE$85,$B56,Raumbuch!$J$6:$J$85),2))</f>
        <v>142.76</v>
      </c>
      <c r="E56" s="23">
        <f>IFERROR($D56/$D$58,0)</f>
        <v>0.16113230546964941</v>
      </c>
      <c r="F56" s="24">
        <f>IF($B56="","",ROUND(SUMIF(Raumbuch!$AE$6:$AE$85,$B56,Raumbuch!$AC$6:$AC$85),0))</f>
        <v>21877</v>
      </c>
    </row>
    <row r="57" spans="2:11" ht="16.5" customHeight="1" x14ac:dyDescent="0.2">
      <c r="B57" s="19" t="s">
        <v>79</v>
      </c>
      <c r="C57" s="21">
        <f>IF($B57="","",COUNTIF(Raumbuch!$AE$6:$AE$85,$B57))</f>
        <v>2</v>
      </c>
      <c r="D57" s="22">
        <f>IF($B57="","",ROUND(SUMIF(Raumbuch!$AE$6:$AE$85,$B57,Raumbuch!$J$6:$J$85),2))</f>
        <v>59.12</v>
      </c>
      <c r="E57" s="23">
        <f>IFERROR($D57/$D$58,0)</f>
        <v>6.6728368586198336E-2</v>
      </c>
      <c r="F57" s="24">
        <f>IF($B57="","",ROUND(SUMIF(Raumbuch!$AE$6:$AE$85,$B57,Raumbuch!$AC$6:$AC$85),0))</f>
        <v>1311</v>
      </c>
    </row>
    <row r="58" spans="2:11" ht="19.5" customHeight="1" x14ac:dyDescent="0.2">
      <c r="B58" s="25" t="s">
        <v>56</v>
      </c>
      <c r="C58" s="26">
        <f>SUM(C53:C57)</f>
        <v>26</v>
      </c>
      <c r="D58" s="27">
        <f>ROUND(SUM(D53:D57),2)</f>
        <v>885.98</v>
      </c>
      <c r="E58" s="28">
        <f>IFERROR(SUM(E53:E57),0)</f>
        <v>1</v>
      </c>
      <c r="F58" s="29">
        <f>SUM(F53:F57)</f>
        <v>175091</v>
      </c>
    </row>
    <row r="61" spans="2:11" ht="19.5" customHeight="1" x14ac:dyDescent="0.2">
      <c r="B61" s="11" t="s">
        <v>80</v>
      </c>
      <c r="C61" s="11"/>
      <c r="D61" s="11"/>
      <c r="E61" s="11"/>
      <c r="F61" s="11"/>
      <c r="G61" s="11"/>
      <c r="H61" s="11"/>
      <c r="I61" s="11"/>
      <c r="J61" s="11"/>
      <c r="K61" s="11"/>
    </row>
    <row r="62" spans="2:11" ht="15.75" customHeight="1" x14ac:dyDescent="0.2">
      <c r="B62" s="30" t="s">
        <v>81</v>
      </c>
      <c r="C62" s="1" t="s">
        <v>82</v>
      </c>
      <c r="D62" s="1"/>
      <c r="E62" s="1"/>
      <c r="F62" s="1"/>
      <c r="G62" s="1"/>
      <c r="H62" s="1"/>
      <c r="I62" s="1"/>
      <c r="J62" s="1"/>
      <c r="K62" s="1"/>
    </row>
    <row r="63" spans="2:11" ht="15.75" customHeight="1" x14ac:dyDescent="0.2">
      <c r="B63" s="30" t="s">
        <v>83</v>
      </c>
      <c r="C63" s="1" t="s">
        <v>84</v>
      </c>
      <c r="D63" s="1"/>
      <c r="E63" s="1"/>
      <c r="F63" s="1"/>
      <c r="G63" s="1"/>
      <c r="H63" s="1"/>
      <c r="I63" s="1"/>
      <c r="J63" s="1"/>
      <c r="K63" s="1"/>
    </row>
    <row r="64" spans="2:11" ht="15.75" customHeight="1" x14ac:dyDescent="0.2">
      <c r="B64" s="30" t="s">
        <v>85</v>
      </c>
      <c r="C64" s="1" t="s">
        <v>86</v>
      </c>
      <c r="D64" s="1"/>
      <c r="E64" s="1"/>
      <c r="F64" s="1"/>
      <c r="G64" s="1"/>
      <c r="H64" s="1"/>
      <c r="I64" s="1"/>
      <c r="J64" s="1"/>
      <c r="K64" s="1"/>
    </row>
    <row r="65" spans="2:11" ht="15.75" customHeight="1" x14ac:dyDescent="0.2">
      <c r="B65" s="30" t="s">
        <v>87</v>
      </c>
      <c r="C65" s="1" t="s">
        <v>88</v>
      </c>
      <c r="D65" s="1"/>
      <c r="E65" s="1"/>
      <c r="F65" s="1"/>
      <c r="G65" s="1"/>
      <c r="H65" s="1"/>
      <c r="I65" s="1"/>
      <c r="J65" s="1"/>
      <c r="K65" s="1"/>
    </row>
    <row r="66" spans="2:11" ht="15.75" customHeight="1" x14ac:dyDescent="0.2">
      <c r="B66" s="30" t="s">
        <v>89</v>
      </c>
      <c r="C66" s="1" t="s">
        <v>90</v>
      </c>
      <c r="D66" s="1"/>
      <c r="E66" s="1"/>
      <c r="F66" s="1"/>
      <c r="G66" s="1"/>
      <c r="H66" s="1"/>
      <c r="I66" s="1"/>
      <c r="J66" s="1"/>
      <c r="K66" s="1"/>
    </row>
    <row r="67" spans="2:11" ht="15.75" customHeight="1" x14ac:dyDescent="0.2">
      <c r="B67" s="30" t="s">
        <v>91</v>
      </c>
      <c r="C67" s="1" t="s">
        <v>92</v>
      </c>
      <c r="D67" s="1"/>
      <c r="E67" s="1"/>
      <c r="F67" s="1"/>
      <c r="G67" s="1"/>
      <c r="H67" s="1"/>
      <c r="I67" s="1"/>
      <c r="J67" s="1"/>
      <c r="K67" s="1"/>
    </row>
    <row r="68" spans="2:11" ht="15.75" customHeight="1" x14ac:dyDescent="0.2">
      <c r="B68" s="30" t="s">
        <v>93</v>
      </c>
      <c r="C68" s="1" t="s">
        <v>94</v>
      </c>
      <c r="D68" s="1"/>
      <c r="E68" s="1"/>
      <c r="F68" s="1"/>
      <c r="G68" s="1"/>
      <c r="H68" s="1"/>
      <c r="I68" s="1"/>
      <c r="J68" s="1"/>
      <c r="K68" s="1"/>
    </row>
    <row r="70" spans="2:11" x14ac:dyDescent="0.2">
      <c r="B70" s="65" t="s">
        <v>95</v>
      </c>
      <c r="C70" s="65"/>
      <c r="D70" s="65"/>
      <c r="E70" s="65"/>
      <c r="F70" s="65"/>
      <c r="G70" s="65"/>
      <c r="H70" s="65"/>
      <c r="I70" s="65"/>
      <c r="J70" s="65"/>
      <c r="K70" s="65"/>
    </row>
    <row r="71" spans="2:11" ht="24" customHeight="1" x14ac:dyDescent="0.25">
      <c r="B71" s="31"/>
      <c r="C71" s="32" t="s">
        <v>96</v>
      </c>
      <c r="D71" s="33"/>
      <c r="E71" s="32" t="s">
        <v>97</v>
      </c>
      <c r="F71" s="34"/>
      <c r="G71" s="32" t="s">
        <v>98</v>
      </c>
      <c r="H71" s="35"/>
      <c r="I71" s="32" t="s">
        <v>99</v>
      </c>
      <c r="J71" s="36"/>
      <c r="K71" s="32" t="s">
        <v>100</v>
      </c>
    </row>
    <row r="73" spans="2:11" ht="15.75" customHeight="1" x14ac:dyDescent="0.2">
      <c r="B73" s="66" t="s">
        <v>101</v>
      </c>
      <c r="C73" s="66"/>
      <c r="D73" s="66"/>
      <c r="E73" s="66"/>
      <c r="F73" s="66"/>
      <c r="G73" s="66"/>
      <c r="H73" s="66"/>
      <c r="I73" s="66"/>
      <c r="J73" s="66"/>
      <c r="K73" s="66"/>
    </row>
    <row r="74" spans="2:11" ht="15.75" customHeight="1" x14ac:dyDescent="0.2">
      <c r="B74" s="66"/>
      <c r="C74" s="66"/>
      <c r="D74" s="66"/>
      <c r="E74" s="66"/>
      <c r="F74" s="66"/>
      <c r="G74" s="66"/>
      <c r="H74" s="66"/>
      <c r="I74" s="66"/>
      <c r="J74" s="66"/>
      <c r="K74" s="66"/>
    </row>
  </sheetData>
  <mergeCells count="58">
    <mergeCell ref="C68:K68"/>
    <mergeCell ref="B70:K70"/>
    <mergeCell ref="B73:K74"/>
    <mergeCell ref="C63:K63"/>
    <mergeCell ref="C64:K64"/>
    <mergeCell ref="C65:K65"/>
    <mergeCell ref="C66:K66"/>
    <mergeCell ref="C67:K67"/>
    <mergeCell ref="B23:F23"/>
    <mergeCell ref="B33:F33"/>
    <mergeCell ref="B51:F51"/>
    <mergeCell ref="B61:K61"/>
    <mergeCell ref="C62:K62"/>
    <mergeCell ref="B20:C20"/>
    <mergeCell ref="D20:E20"/>
    <mergeCell ref="F20:G20"/>
    <mergeCell ref="H20:I20"/>
    <mergeCell ref="J20:K20"/>
    <mergeCell ref="B19:C19"/>
    <mergeCell ref="D19:E19"/>
    <mergeCell ref="F19:G19"/>
    <mergeCell ref="H19:I19"/>
    <mergeCell ref="J19:K19"/>
    <mergeCell ref="B18:C18"/>
    <mergeCell ref="D18:E18"/>
    <mergeCell ref="F18:G18"/>
    <mergeCell ref="H18:I18"/>
    <mergeCell ref="J18:K18"/>
    <mergeCell ref="B16:C16"/>
    <mergeCell ref="D16:E16"/>
    <mergeCell ref="F16:G16"/>
    <mergeCell ref="H16:I16"/>
    <mergeCell ref="J16:K16"/>
    <mergeCell ref="B15:C15"/>
    <mergeCell ref="D15:E15"/>
    <mergeCell ref="F15:G15"/>
    <mergeCell ref="H15:I15"/>
    <mergeCell ref="J15:K15"/>
    <mergeCell ref="C11:F11"/>
    <mergeCell ref="H11:K11"/>
    <mergeCell ref="B13:K13"/>
    <mergeCell ref="B14:C14"/>
    <mergeCell ref="D14:E14"/>
    <mergeCell ref="F14:G14"/>
    <mergeCell ref="H14:I14"/>
    <mergeCell ref="J14:K14"/>
    <mergeCell ref="C8:F8"/>
    <mergeCell ref="H8:K8"/>
    <mergeCell ref="C9:F9"/>
    <mergeCell ref="H9:K9"/>
    <mergeCell ref="C10:F10"/>
    <mergeCell ref="H10:K10"/>
    <mergeCell ref="B2:F2"/>
    <mergeCell ref="G2:K2"/>
    <mergeCell ref="B3:K3"/>
    <mergeCell ref="B6:K6"/>
    <mergeCell ref="C7:F7"/>
    <mergeCell ref="H7:K7"/>
  </mergeCells>
  <conditionalFormatting sqref="E25:E30">
    <cfRule type="dataBar" priority="2">
      <dataBar>
        <cfvo type="num" val="0"/>
        <cfvo type="max"/>
        <color rgb="FFB0603A"/>
      </dataBar>
      <extLst>
        <ext xmlns:x14="http://schemas.microsoft.com/office/spreadsheetml/2009/9/main" uri="{B025F937-C7B1-47D3-B67F-A62EFF666E3E}">
          <x14:id>{60F483C0-ACFA-4E11-B9BA-5C4F91FD52A8}</x14:id>
        </ext>
      </extLst>
    </cfRule>
  </conditionalFormatting>
  <conditionalFormatting sqref="E35:E48">
    <cfRule type="dataBar" priority="3">
      <dataBar>
        <cfvo type="num" val="0"/>
        <cfvo type="max"/>
        <color rgb="FFB0603A"/>
      </dataBar>
      <extLst>
        <ext xmlns:x14="http://schemas.microsoft.com/office/spreadsheetml/2009/9/main" uri="{B025F937-C7B1-47D3-B67F-A62EFF666E3E}">
          <x14:id>{83996E33-F0E2-4B00-A42F-60DCF5305B62}</x14:id>
        </ext>
      </extLst>
    </cfRule>
  </conditionalFormatting>
  <conditionalFormatting sqref="E53:E57">
    <cfRule type="dataBar" priority="4">
      <dataBar>
        <cfvo type="num" val="0"/>
        <cfvo type="max"/>
        <color rgb="FFB0603A"/>
      </dataBar>
      <extLst>
        <ext xmlns:x14="http://schemas.microsoft.com/office/spreadsheetml/2009/9/main" uri="{B025F937-C7B1-47D3-B67F-A62EFF666E3E}">
          <x14:id>{CB1158DC-209F-4F2A-8F5D-1A4E37276814}</x14:id>
        </ext>
      </extLst>
    </cfRule>
  </conditionalFormatting>
  <pageMargins left="0.75" right="0.75" top="1" bottom="1" header="0.511811023622047" footer="0.511811023622047"/>
  <pageSetup paperSize="9" orientation="portrait" horizontalDpi="300" verticalDpi="300"/>
  <drawing r:id="rId1"/>
  <extLst>
    <ext xmlns:x14="http://schemas.microsoft.com/office/spreadsheetml/2009/9/main" uri="{78C0D931-6437-407d-A8EE-F0AAD7539E65}">
      <x14:conditionalFormattings>
        <x14:conditionalFormatting xmlns:xm="http://schemas.microsoft.com/office/excel/2006/main">
          <x14:cfRule type="dataBar" id="{60F483C0-ACFA-4E11-B9BA-5C4F91FD52A8}">
            <x14:dataBar axisPosition="none">
              <x14:cfvo type="num">
                <xm:f>0</xm:f>
              </x14:cfvo>
              <x14:cfvo type="max"/>
              <x14:negativeFillColor rgb="FFB0603A"/>
            </x14:dataBar>
          </x14:cfRule>
          <xm:sqref>E25:E30</xm:sqref>
        </x14:conditionalFormatting>
        <x14:conditionalFormatting xmlns:xm="http://schemas.microsoft.com/office/excel/2006/main">
          <x14:cfRule type="dataBar" id="{83996E33-F0E2-4B00-A42F-60DCF5305B62}">
            <x14:dataBar axisPosition="none">
              <x14:cfvo type="num">
                <xm:f>0</xm:f>
              </x14:cfvo>
              <x14:cfvo type="max"/>
              <x14:negativeFillColor rgb="FFB0603A"/>
            </x14:dataBar>
          </x14:cfRule>
          <xm:sqref>E35:E48</xm:sqref>
        </x14:conditionalFormatting>
        <x14:conditionalFormatting xmlns:xm="http://schemas.microsoft.com/office/excel/2006/main">
          <x14:cfRule type="dataBar" id="{CB1158DC-209F-4F2A-8F5D-1A4E37276814}">
            <x14:dataBar axisPosition="none">
              <x14:cfvo type="num">
                <xm:f>0</xm:f>
              </x14:cfvo>
              <x14:cfvo type="max"/>
              <x14:negativeFillColor rgb="FFB0603A"/>
            </x14:dataBar>
          </x14:cfRule>
          <xm:sqref>E53:E57</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0603A"/>
    <pageSetUpPr fitToPage="1"/>
  </sheetPr>
  <dimension ref="A1:AJ86"/>
  <sheetViews>
    <sheetView showGridLines="0" zoomScaleNormal="100" workbookViewId="0">
      <pane xSplit="4" ySplit="5" topLeftCell="E6" activePane="bottomRight" state="frozen"/>
      <selection pane="topRight" activeCell="E1" sqref="E1"/>
      <selection pane="bottomLeft" activeCell="A6" sqref="A6"/>
      <selection pane="bottomRight"/>
    </sheetView>
  </sheetViews>
  <sheetFormatPr baseColWidth="10" defaultColWidth="8.7109375" defaultRowHeight="12.75" x14ac:dyDescent="0.2"/>
  <cols>
    <col min="1" max="1" width="11" customWidth="1"/>
    <col min="2" max="2" width="14" customWidth="1"/>
    <col min="3" max="3" width="10" customWidth="1"/>
    <col min="4" max="4" width="26" customWidth="1"/>
    <col min="5" max="5" width="17" customWidth="1"/>
    <col min="6" max="6" width="16" customWidth="1"/>
    <col min="7" max="9" width="8" customWidth="1"/>
    <col min="10" max="12" width="10" customWidth="1"/>
    <col min="13" max="14" width="8" customWidth="1"/>
    <col min="15" max="15" width="12" customWidth="1"/>
    <col min="16" max="18" width="21" customWidth="1"/>
    <col min="19" max="20" width="18" customWidth="1"/>
    <col min="21" max="22" width="8" customWidth="1"/>
    <col min="23" max="23" width="15" customWidth="1"/>
    <col min="24" max="24" width="9" customWidth="1"/>
    <col min="25" max="25" width="19" customWidth="1"/>
    <col min="26" max="28" width="11" customWidth="1"/>
    <col min="29" max="29" width="14" customWidth="1"/>
    <col min="30" max="30" width="11" customWidth="1"/>
    <col min="31" max="31" width="15" customWidth="1"/>
    <col min="32" max="32" width="13" customWidth="1"/>
    <col min="33" max="34" width="16" customWidth="1"/>
    <col min="35" max="35" width="12" customWidth="1"/>
    <col min="36" max="36" width="38" customWidth="1"/>
  </cols>
  <sheetData>
    <row r="1" spans="1:36" ht="30" customHeight="1" x14ac:dyDescent="0.2">
      <c r="A1" s="67" t="s">
        <v>0</v>
      </c>
      <c r="B1" s="67"/>
      <c r="C1" s="67"/>
      <c r="D1" s="67"/>
      <c r="E1" s="68" t="str">
        <f>Übersicht!C8</f>
        <v>Musterprojekt – Verwaltungsgebäude</v>
      </c>
      <c r="F1" s="68"/>
      <c r="G1" s="68"/>
      <c r="H1" s="68"/>
      <c r="I1" s="68"/>
      <c r="J1" s="68"/>
      <c r="AE1" s="69" t="s">
        <v>102</v>
      </c>
      <c r="AF1" s="69"/>
      <c r="AG1" s="69"/>
      <c r="AH1" s="69"/>
      <c r="AI1" s="69"/>
      <c r="AJ1" s="69"/>
    </row>
    <row r="2" spans="1:36" ht="15.75" customHeight="1" x14ac:dyDescent="0.2">
      <c r="A2" s="70" t="s">
        <v>103</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row>
    <row r="3" spans="1:36" ht="21.75" customHeight="1" x14ac:dyDescent="0.25">
      <c r="A3" s="71" t="s">
        <v>104</v>
      </c>
      <c r="B3" s="71"/>
      <c r="C3" s="37" t="s">
        <v>105</v>
      </c>
      <c r="D3" s="38">
        <f>SUBTOTAL(103,$D$6:$D$85)</f>
        <v>26</v>
      </c>
      <c r="E3" s="37" t="s">
        <v>106</v>
      </c>
      <c r="F3" s="39">
        <f>SUBTOTAL(109,$J$6:$J$85)</f>
        <v>885.98</v>
      </c>
      <c r="G3" s="72" t="s">
        <v>107</v>
      </c>
      <c r="H3" s="72"/>
      <c r="I3" s="72"/>
      <c r="J3" s="73">
        <f>SUBTOTAL(109,$AC$6:$AC$85)</f>
        <v>175091</v>
      </c>
      <c r="K3" s="73"/>
      <c r="L3" s="73"/>
      <c r="M3" s="74" t="s">
        <v>108</v>
      </c>
      <c r="N3" s="74"/>
      <c r="O3" s="74"/>
      <c r="P3" s="74"/>
      <c r="Q3" s="74"/>
      <c r="R3" s="74"/>
      <c r="S3" s="40"/>
      <c r="T3" s="40"/>
      <c r="U3" s="40"/>
      <c r="V3" s="40"/>
      <c r="W3" s="40"/>
      <c r="X3" s="40"/>
      <c r="Y3" s="40"/>
      <c r="Z3" s="40"/>
      <c r="AA3" s="40"/>
      <c r="AB3" s="40"/>
      <c r="AC3" s="40"/>
      <c r="AD3" s="40"/>
      <c r="AE3" s="40"/>
      <c r="AF3" s="40"/>
      <c r="AG3" s="40"/>
      <c r="AH3" s="40"/>
      <c r="AI3" s="40"/>
      <c r="AJ3" s="40"/>
    </row>
    <row r="4" spans="1:36" ht="18" customHeight="1" x14ac:dyDescent="0.2">
      <c r="A4" s="75" t="s">
        <v>109</v>
      </c>
      <c r="B4" s="75"/>
      <c r="C4" s="75"/>
      <c r="D4" s="75"/>
      <c r="E4" s="75"/>
      <c r="F4" s="75"/>
      <c r="G4" s="76" t="s">
        <v>110</v>
      </c>
      <c r="H4" s="76"/>
      <c r="I4" s="76"/>
      <c r="J4" s="76"/>
      <c r="K4" s="76"/>
      <c r="L4" s="76"/>
      <c r="M4" s="76"/>
      <c r="N4" s="76"/>
      <c r="O4" s="76"/>
      <c r="P4" s="77" t="s">
        <v>111</v>
      </c>
      <c r="Q4" s="77"/>
      <c r="R4" s="77"/>
      <c r="S4" s="76" t="s">
        <v>112</v>
      </c>
      <c r="T4" s="76"/>
      <c r="U4" s="76"/>
      <c r="V4" s="76"/>
      <c r="W4" s="76"/>
      <c r="X4" s="76"/>
      <c r="Y4" s="77" t="s">
        <v>113</v>
      </c>
      <c r="Z4" s="77"/>
      <c r="AA4" s="77"/>
      <c r="AB4" s="77"/>
      <c r="AC4" s="77"/>
      <c r="AD4" s="77"/>
      <c r="AE4" s="75" t="s">
        <v>114</v>
      </c>
      <c r="AF4" s="75"/>
      <c r="AG4" s="75"/>
      <c r="AH4" s="75"/>
      <c r="AI4" s="75"/>
      <c r="AJ4" s="75"/>
    </row>
    <row r="5" spans="1:36" ht="33.75" customHeight="1" x14ac:dyDescent="0.2">
      <c r="A5" s="20" t="s">
        <v>115</v>
      </c>
      <c r="B5" s="20" t="s">
        <v>116</v>
      </c>
      <c r="C5" s="20" t="s">
        <v>45</v>
      </c>
      <c r="D5" s="20" t="s">
        <v>117</v>
      </c>
      <c r="E5" s="20" t="s">
        <v>58</v>
      </c>
      <c r="F5" s="20" t="s">
        <v>118</v>
      </c>
      <c r="G5" s="20" t="s">
        <v>119</v>
      </c>
      <c r="H5" s="20" t="s">
        <v>120</v>
      </c>
      <c r="I5" s="20" t="s">
        <v>121</v>
      </c>
      <c r="J5" s="20" t="s">
        <v>122</v>
      </c>
      <c r="K5" s="20" t="s">
        <v>123</v>
      </c>
      <c r="L5" s="20" t="s">
        <v>124</v>
      </c>
      <c r="M5" s="20" t="s">
        <v>125</v>
      </c>
      <c r="N5" s="20" t="s">
        <v>126</v>
      </c>
      <c r="O5" s="20" t="s">
        <v>127</v>
      </c>
      <c r="P5" s="20" t="s">
        <v>128</v>
      </c>
      <c r="Q5" s="20" t="s">
        <v>129</v>
      </c>
      <c r="R5" s="20" t="s">
        <v>130</v>
      </c>
      <c r="S5" s="20" t="s">
        <v>131</v>
      </c>
      <c r="T5" s="20" t="s">
        <v>132</v>
      </c>
      <c r="U5" s="20" t="s">
        <v>133</v>
      </c>
      <c r="V5" s="20" t="s">
        <v>134</v>
      </c>
      <c r="W5" s="20" t="s">
        <v>135</v>
      </c>
      <c r="X5" s="20" t="s">
        <v>136</v>
      </c>
      <c r="Y5" s="20" t="s">
        <v>137</v>
      </c>
      <c r="Z5" s="20" t="s">
        <v>138</v>
      </c>
      <c r="AA5" s="20" t="s">
        <v>139</v>
      </c>
      <c r="AB5" s="20" t="s">
        <v>140</v>
      </c>
      <c r="AC5" s="20" t="s">
        <v>141</v>
      </c>
      <c r="AD5" s="20" t="s">
        <v>142</v>
      </c>
      <c r="AE5" s="20" t="s">
        <v>74</v>
      </c>
      <c r="AF5" s="20" t="s">
        <v>143</v>
      </c>
      <c r="AG5" s="20" t="s">
        <v>144</v>
      </c>
      <c r="AH5" s="20" t="s">
        <v>145</v>
      </c>
      <c r="AI5" s="20" t="s">
        <v>146</v>
      </c>
      <c r="AJ5" s="20" t="s">
        <v>147</v>
      </c>
    </row>
    <row r="6" spans="1:36" ht="18" customHeight="1" x14ac:dyDescent="0.2">
      <c r="A6" s="41" t="s">
        <v>148</v>
      </c>
      <c r="B6" s="42" t="s">
        <v>149</v>
      </c>
      <c r="C6" s="43" t="s">
        <v>50</v>
      </c>
      <c r="D6" s="44" t="s">
        <v>150</v>
      </c>
      <c r="E6" s="42" t="s">
        <v>71</v>
      </c>
      <c r="F6" s="42" t="s">
        <v>151</v>
      </c>
      <c r="G6" s="45">
        <v>6.2</v>
      </c>
      <c r="H6" s="45">
        <v>4.8</v>
      </c>
      <c r="I6" s="45">
        <v>3.1</v>
      </c>
      <c r="J6" s="46">
        <f t="shared" ref="J6:J37" si="0">IF(OR($G6="",$H6=""),"",ROUND($G6*$H6,2))</f>
        <v>29.76</v>
      </c>
      <c r="K6" s="46">
        <f t="shared" ref="K6:K37" si="1">IF(OR($G6="",$H6=""),"",ROUND(2*($G6+$H6),2))</f>
        <v>22</v>
      </c>
      <c r="L6" s="46">
        <f t="shared" ref="L6:L37" si="2">IF(OR($J6="",$I6=""),"",ROUND($J6*$I6,2))</f>
        <v>92.26</v>
      </c>
      <c r="M6" s="47">
        <v>1</v>
      </c>
      <c r="N6" s="47">
        <v>0</v>
      </c>
      <c r="O6" s="46">
        <f t="shared" ref="O6:O37" si="3">IF(OR($K6="",$I6=""),"",ROUND(MAX($K6*$I6-(N($M6)*2+N($N6)*1.8),0),2))</f>
        <v>66.2</v>
      </c>
      <c r="P6" s="42" t="s">
        <v>152</v>
      </c>
      <c r="Q6" s="42" t="s">
        <v>153</v>
      </c>
      <c r="R6" s="42" t="s">
        <v>154</v>
      </c>
      <c r="S6" s="42" t="s">
        <v>155</v>
      </c>
      <c r="T6" s="42" t="s">
        <v>156</v>
      </c>
      <c r="U6" s="47">
        <v>8</v>
      </c>
      <c r="V6" s="47">
        <v>2</v>
      </c>
      <c r="W6" s="43" t="s">
        <v>157</v>
      </c>
      <c r="X6" s="47">
        <v>0</v>
      </c>
      <c r="Y6" s="42" t="s">
        <v>158</v>
      </c>
      <c r="Z6" s="48">
        <f>IF($J6="","",ROUND($J6*IFERROR(VLOOKUP($P6,Stammdaten!$B$26:$C$34,2,FALSE()),0),0))</f>
        <v>863</v>
      </c>
      <c r="AA6" s="48">
        <f>IF($O6="","",ROUND($O6*IFERROR(VLOOKUP($Q6,Stammdaten!$E$26:$F$32,2,FALSE()),0),0))</f>
        <v>1192</v>
      </c>
      <c r="AB6" s="48">
        <f>IF($J6="","",ROUND($J6*IFERROR(VLOOKUP($R6,Stammdaten!$H$26:$I$31,2,FALSE()),0),0))</f>
        <v>0</v>
      </c>
      <c r="AC6" s="49">
        <f t="shared" ref="AC6:AC37" si="4">IF($J6="","",SUM($Z6:$AB6))</f>
        <v>2055</v>
      </c>
      <c r="AD6" s="50">
        <f t="shared" ref="AD6:AD37" si="5">IF(OR($J6="",$J6=0),"",ROUND($AC6/$J6,2))</f>
        <v>69.05</v>
      </c>
      <c r="AE6" s="43" t="s">
        <v>78</v>
      </c>
      <c r="AF6" s="51">
        <v>46066</v>
      </c>
      <c r="AG6" s="42" t="s">
        <v>159</v>
      </c>
      <c r="AH6" s="52" t="str">
        <f t="shared" ref="AH6:AH37" ca="1" si="6">IF($D6="","",IF($AE6="Abgenommen","Abgeschlossen",IF($AF6="","Kein Termin",IF($AF6&lt;TODAY(),"Überfällig",IF($AF6-TODAY()&lt;=30,"Fällig ≤ 30 Tage","Im Plan")))))</f>
        <v>Abgeschlossen</v>
      </c>
      <c r="AI6" s="53">
        <f t="shared" ref="AI6:AI37" si="7">IF($D6="","",ROUND(COUNTA($A6,$B6,$C6,$E6,$G6,$H6,$I6,$P6,$Q6,$R6,$S6,$T6,$Y6,$AE6)/14,2))</f>
        <v>1</v>
      </c>
      <c r="AJ6" s="44" t="s">
        <v>160</v>
      </c>
    </row>
    <row r="7" spans="1:36" ht="18" customHeight="1" x14ac:dyDescent="0.2">
      <c r="A7" s="41" t="s">
        <v>161</v>
      </c>
      <c r="B7" s="42" t="s">
        <v>149</v>
      </c>
      <c r="C7" s="43" t="s">
        <v>50</v>
      </c>
      <c r="D7" s="44" t="s">
        <v>162</v>
      </c>
      <c r="E7" s="42" t="s">
        <v>70</v>
      </c>
      <c r="F7" s="42" t="s">
        <v>163</v>
      </c>
      <c r="G7" s="45">
        <v>8.4</v>
      </c>
      <c r="H7" s="45">
        <v>5.2</v>
      </c>
      <c r="I7" s="45">
        <v>2.7</v>
      </c>
      <c r="J7" s="46">
        <f t="shared" si="0"/>
        <v>43.68</v>
      </c>
      <c r="K7" s="46">
        <f t="shared" si="1"/>
        <v>27.2</v>
      </c>
      <c r="L7" s="46">
        <f t="shared" si="2"/>
        <v>117.94</v>
      </c>
      <c r="M7" s="47">
        <v>1</v>
      </c>
      <c r="N7" s="47">
        <v>0</v>
      </c>
      <c r="O7" s="46">
        <f t="shared" si="3"/>
        <v>71.44</v>
      </c>
      <c r="P7" s="42" t="s">
        <v>152</v>
      </c>
      <c r="Q7" s="42" t="s">
        <v>153</v>
      </c>
      <c r="R7" s="42" t="s">
        <v>154</v>
      </c>
      <c r="S7" s="42" t="s">
        <v>164</v>
      </c>
      <c r="T7" s="42" t="s">
        <v>165</v>
      </c>
      <c r="U7" s="47">
        <v>4</v>
      </c>
      <c r="V7" s="47">
        <v>1</v>
      </c>
      <c r="W7" s="43" t="s">
        <v>157</v>
      </c>
      <c r="X7" s="47">
        <v>0</v>
      </c>
      <c r="Y7" s="42" t="s">
        <v>166</v>
      </c>
      <c r="Z7" s="48">
        <f>IF($J7="","",ROUND($J7*IFERROR(VLOOKUP($P7,Stammdaten!$B$26:$C$34,2,FALSE()),0),0))</f>
        <v>1267</v>
      </c>
      <c r="AA7" s="48">
        <f>IF($O7="","",ROUND($O7*IFERROR(VLOOKUP($Q7,Stammdaten!$E$26:$F$32,2,FALSE()),0),0))</f>
        <v>1286</v>
      </c>
      <c r="AB7" s="48">
        <f>IF($J7="","",ROUND($J7*IFERROR(VLOOKUP($R7,Stammdaten!$H$26:$I$31,2,FALSE()),0),0))</f>
        <v>0</v>
      </c>
      <c r="AC7" s="49">
        <f t="shared" si="4"/>
        <v>2553</v>
      </c>
      <c r="AD7" s="50">
        <f t="shared" si="5"/>
        <v>58.45</v>
      </c>
      <c r="AE7" s="43" t="s">
        <v>78</v>
      </c>
      <c r="AF7" s="51">
        <v>46087</v>
      </c>
      <c r="AG7" s="42" t="s">
        <v>167</v>
      </c>
      <c r="AH7" s="52" t="str">
        <f t="shared" ca="1" si="6"/>
        <v>Abgeschlossen</v>
      </c>
      <c r="AI7" s="53">
        <f t="shared" si="7"/>
        <v>1</v>
      </c>
      <c r="AJ7" s="44" t="s">
        <v>168</v>
      </c>
    </row>
    <row r="8" spans="1:36" ht="18" customHeight="1" x14ac:dyDescent="0.2">
      <c r="A8" s="41" t="s">
        <v>169</v>
      </c>
      <c r="B8" s="42" t="s">
        <v>149</v>
      </c>
      <c r="C8" s="43" t="s">
        <v>50</v>
      </c>
      <c r="D8" s="44" t="s">
        <v>170</v>
      </c>
      <c r="E8" s="42" t="s">
        <v>69</v>
      </c>
      <c r="F8" s="42" t="s">
        <v>171</v>
      </c>
      <c r="G8" s="45">
        <v>5.6</v>
      </c>
      <c r="H8" s="45">
        <v>4.2</v>
      </c>
      <c r="I8" s="45">
        <v>2.7</v>
      </c>
      <c r="J8" s="46">
        <f t="shared" si="0"/>
        <v>23.52</v>
      </c>
      <c r="K8" s="46">
        <f t="shared" si="1"/>
        <v>19.600000000000001</v>
      </c>
      <c r="L8" s="46">
        <f t="shared" si="2"/>
        <v>63.5</v>
      </c>
      <c r="M8" s="47">
        <v>1</v>
      </c>
      <c r="N8" s="47">
        <v>0</v>
      </c>
      <c r="O8" s="46">
        <f t="shared" si="3"/>
        <v>50.92</v>
      </c>
      <c r="P8" s="42" t="s">
        <v>152</v>
      </c>
      <c r="Q8" s="42" t="s">
        <v>153</v>
      </c>
      <c r="R8" s="42" t="s">
        <v>154</v>
      </c>
      <c r="S8" s="42" t="s">
        <v>164</v>
      </c>
      <c r="T8" s="42" t="s">
        <v>165</v>
      </c>
      <c r="U8" s="47">
        <v>3</v>
      </c>
      <c r="V8" s="47">
        <v>0</v>
      </c>
      <c r="W8" s="43" t="s">
        <v>172</v>
      </c>
      <c r="X8" s="47">
        <v>0</v>
      </c>
      <c r="Y8" s="42" t="s">
        <v>166</v>
      </c>
      <c r="Z8" s="48">
        <f>IF($J8="","",ROUND($J8*IFERROR(VLOOKUP($P8,Stammdaten!$B$26:$C$34,2,FALSE()),0),0))</f>
        <v>682</v>
      </c>
      <c r="AA8" s="48">
        <f>IF($O8="","",ROUND($O8*IFERROR(VLOOKUP($Q8,Stammdaten!$E$26:$F$32,2,FALSE()),0),0))</f>
        <v>917</v>
      </c>
      <c r="AB8" s="48">
        <f>IF($J8="","",ROUND($J8*IFERROR(VLOOKUP($R8,Stammdaten!$H$26:$I$31,2,FALSE()),0),0))</f>
        <v>0</v>
      </c>
      <c r="AC8" s="49">
        <f t="shared" si="4"/>
        <v>1599</v>
      </c>
      <c r="AD8" s="50">
        <f t="shared" si="5"/>
        <v>67.98</v>
      </c>
      <c r="AE8" s="43" t="s">
        <v>76</v>
      </c>
      <c r="AF8" s="51">
        <v>46283</v>
      </c>
      <c r="AG8" s="42" t="s">
        <v>167</v>
      </c>
      <c r="AH8" s="52" t="str">
        <f t="shared" ca="1" si="6"/>
        <v>Fällig ≤ 30 Tage</v>
      </c>
      <c r="AI8" s="53">
        <f t="shared" si="7"/>
        <v>1</v>
      </c>
      <c r="AJ8" s="44"/>
    </row>
    <row r="9" spans="1:36" ht="18" customHeight="1" x14ac:dyDescent="0.2">
      <c r="A9" s="41" t="s">
        <v>173</v>
      </c>
      <c r="B9" s="42" t="s">
        <v>149</v>
      </c>
      <c r="C9" s="43" t="s">
        <v>51</v>
      </c>
      <c r="D9" s="44" t="s">
        <v>174</v>
      </c>
      <c r="E9" s="42" t="s">
        <v>64</v>
      </c>
      <c r="F9" s="42" t="s">
        <v>171</v>
      </c>
      <c r="G9" s="45">
        <v>9.8000000000000007</v>
      </c>
      <c r="H9" s="45">
        <v>7.4</v>
      </c>
      <c r="I9" s="45">
        <v>3.4</v>
      </c>
      <c r="J9" s="46">
        <f t="shared" si="0"/>
        <v>72.52</v>
      </c>
      <c r="K9" s="46">
        <f t="shared" si="1"/>
        <v>34.4</v>
      </c>
      <c r="L9" s="46">
        <f t="shared" si="2"/>
        <v>246.57</v>
      </c>
      <c r="M9" s="47">
        <v>3</v>
      </c>
      <c r="N9" s="47">
        <v>5</v>
      </c>
      <c r="O9" s="46">
        <f t="shared" si="3"/>
        <v>101.96</v>
      </c>
      <c r="P9" s="42" t="s">
        <v>175</v>
      </c>
      <c r="Q9" s="42" t="s">
        <v>176</v>
      </c>
      <c r="R9" s="42" t="s">
        <v>177</v>
      </c>
      <c r="S9" s="42" t="s">
        <v>178</v>
      </c>
      <c r="T9" s="42" t="s">
        <v>179</v>
      </c>
      <c r="U9" s="47">
        <v>10</v>
      </c>
      <c r="V9" s="47">
        <v>4</v>
      </c>
      <c r="W9" s="43" t="s">
        <v>180</v>
      </c>
      <c r="X9" s="47">
        <v>2</v>
      </c>
      <c r="Y9" s="42" t="s">
        <v>181</v>
      </c>
      <c r="Z9" s="48">
        <f>IF($J9="","",ROUND($J9*IFERROR(VLOOKUP($P9,Stammdaten!$B$26:$C$34,2,FALSE()),0),0))</f>
        <v>6962</v>
      </c>
      <c r="AA9" s="48">
        <f>IF($O9="","",ROUND($O9*IFERROR(VLOOKUP($Q9,Stammdaten!$E$26:$F$32,2,FALSE()),0),0))</f>
        <v>2753</v>
      </c>
      <c r="AB9" s="48">
        <f>IF($J9="","",ROUND($J9*IFERROR(VLOOKUP($R9,Stammdaten!$H$26:$I$31,2,FALSE()),0),0))</f>
        <v>6817</v>
      </c>
      <c r="AC9" s="49">
        <f t="shared" si="4"/>
        <v>16532</v>
      </c>
      <c r="AD9" s="50">
        <f t="shared" si="5"/>
        <v>227.96</v>
      </c>
      <c r="AE9" s="43" t="s">
        <v>77</v>
      </c>
      <c r="AF9" s="51">
        <v>46311</v>
      </c>
      <c r="AG9" s="42" t="s">
        <v>182</v>
      </c>
      <c r="AH9" s="52" t="str">
        <f t="shared" ca="1" si="6"/>
        <v>Im Plan</v>
      </c>
      <c r="AI9" s="53">
        <f t="shared" si="7"/>
        <v>1</v>
      </c>
      <c r="AJ9" s="44" t="s">
        <v>183</v>
      </c>
    </row>
    <row r="10" spans="1:36" ht="18" customHeight="1" x14ac:dyDescent="0.2">
      <c r="A10" s="41" t="s">
        <v>184</v>
      </c>
      <c r="B10" s="42" t="s">
        <v>149</v>
      </c>
      <c r="C10" s="43" t="s">
        <v>51</v>
      </c>
      <c r="D10" s="44" t="s">
        <v>185</v>
      </c>
      <c r="E10" s="42" t="s">
        <v>62</v>
      </c>
      <c r="F10" s="42" t="s">
        <v>163</v>
      </c>
      <c r="G10" s="45">
        <v>7.6</v>
      </c>
      <c r="H10" s="45">
        <v>5.4</v>
      </c>
      <c r="I10" s="45">
        <v>3.1</v>
      </c>
      <c r="J10" s="46">
        <f t="shared" si="0"/>
        <v>41.04</v>
      </c>
      <c r="K10" s="46">
        <f t="shared" si="1"/>
        <v>26</v>
      </c>
      <c r="L10" s="46">
        <f t="shared" si="2"/>
        <v>127.22</v>
      </c>
      <c r="M10" s="47">
        <v>1</v>
      </c>
      <c r="N10" s="47">
        <v>3</v>
      </c>
      <c r="O10" s="46">
        <f t="shared" si="3"/>
        <v>73.2</v>
      </c>
      <c r="P10" s="42" t="s">
        <v>186</v>
      </c>
      <c r="Q10" s="42" t="s">
        <v>187</v>
      </c>
      <c r="R10" s="42" t="s">
        <v>177</v>
      </c>
      <c r="S10" s="42" t="s">
        <v>188</v>
      </c>
      <c r="T10" s="42" t="s">
        <v>156</v>
      </c>
      <c r="U10" s="47">
        <v>8</v>
      </c>
      <c r="V10" s="47">
        <v>4</v>
      </c>
      <c r="W10" s="43" t="s">
        <v>189</v>
      </c>
      <c r="X10" s="47">
        <v>12</v>
      </c>
      <c r="Y10" s="42" t="s">
        <v>181</v>
      </c>
      <c r="Z10" s="48">
        <f>IF($J10="","",ROUND($J10*IFERROR(VLOOKUP($P10,Stammdaten!$B$26:$C$34,2,FALSE()),0),0))</f>
        <v>1806</v>
      </c>
      <c r="AA10" s="48">
        <f>IF($O10="","",ROUND($O10*IFERROR(VLOOKUP($Q10,Stammdaten!$E$26:$F$32,2,FALSE()),0),0))</f>
        <v>10394</v>
      </c>
      <c r="AB10" s="48">
        <f>IF($J10="","",ROUND($J10*IFERROR(VLOOKUP($R10,Stammdaten!$H$26:$I$31,2,FALSE()),0),0))</f>
        <v>3858</v>
      </c>
      <c r="AC10" s="49">
        <f t="shared" si="4"/>
        <v>16058</v>
      </c>
      <c r="AD10" s="50">
        <f t="shared" si="5"/>
        <v>391.28</v>
      </c>
      <c r="AE10" s="43" t="s">
        <v>77</v>
      </c>
      <c r="AF10" s="51">
        <v>46325</v>
      </c>
      <c r="AG10" s="42" t="s">
        <v>182</v>
      </c>
      <c r="AH10" s="52" t="str">
        <f t="shared" ca="1" si="6"/>
        <v>Im Plan</v>
      </c>
      <c r="AI10" s="53">
        <f t="shared" si="7"/>
        <v>1</v>
      </c>
      <c r="AJ10" s="44" t="s">
        <v>190</v>
      </c>
    </row>
    <row r="11" spans="1:36" ht="18" customHeight="1" x14ac:dyDescent="0.2">
      <c r="A11" s="41" t="s">
        <v>191</v>
      </c>
      <c r="B11" s="42" t="s">
        <v>149</v>
      </c>
      <c r="C11" s="43" t="s">
        <v>51</v>
      </c>
      <c r="D11" s="44" t="s">
        <v>192</v>
      </c>
      <c r="E11" s="42" t="s">
        <v>68</v>
      </c>
      <c r="F11" s="42" t="s">
        <v>171</v>
      </c>
      <c r="G11" s="45">
        <v>4.5999999999999996</v>
      </c>
      <c r="H11" s="45">
        <v>3.4</v>
      </c>
      <c r="I11" s="45">
        <v>3.1</v>
      </c>
      <c r="J11" s="46">
        <f t="shared" si="0"/>
        <v>15.64</v>
      </c>
      <c r="K11" s="46">
        <f t="shared" si="1"/>
        <v>16</v>
      </c>
      <c r="L11" s="46">
        <f t="shared" si="2"/>
        <v>48.48</v>
      </c>
      <c r="M11" s="47">
        <v>1</v>
      </c>
      <c r="N11" s="47">
        <v>1</v>
      </c>
      <c r="O11" s="46">
        <f t="shared" si="3"/>
        <v>45.8</v>
      </c>
      <c r="P11" s="42" t="s">
        <v>175</v>
      </c>
      <c r="Q11" s="42" t="s">
        <v>193</v>
      </c>
      <c r="R11" s="42" t="s">
        <v>194</v>
      </c>
      <c r="S11" s="42" t="s">
        <v>188</v>
      </c>
      <c r="T11" s="42" t="s">
        <v>156</v>
      </c>
      <c r="U11" s="47">
        <v>8</v>
      </c>
      <c r="V11" s="47">
        <v>1</v>
      </c>
      <c r="W11" s="43" t="s">
        <v>189</v>
      </c>
      <c r="X11" s="47">
        <v>0</v>
      </c>
      <c r="Y11" s="42" t="s">
        <v>181</v>
      </c>
      <c r="Z11" s="48">
        <f>IF($J11="","",ROUND($J11*IFERROR(VLOOKUP($P11,Stammdaten!$B$26:$C$34,2,FALSE()),0),0))</f>
        <v>1501</v>
      </c>
      <c r="AA11" s="48">
        <f>IF($O11="","",ROUND($O11*IFERROR(VLOOKUP($Q11,Stammdaten!$E$26:$F$32,2,FALSE()),0),0))</f>
        <v>3939</v>
      </c>
      <c r="AB11" s="48">
        <f>IF($J11="","",ROUND($J11*IFERROR(VLOOKUP($R11,Stammdaten!$H$26:$I$31,2,FALSE()),0),0))</f>
        <v>1032</v>
      </c>
      <c r="AC11" s="49">
        <f t="shared" si="4"/>
        <v>6472</v>
      </c>
      <c r="AD11" s="50">
        <f t="shared" si="5"/>
        <v>413.81</v>
      </c>
      <c r="AE11" s="43" t="s">
        <v>77</v>
      </c>
      <c r="AF11" s="51">
        <v>46339</v>
      </c>
      <c r="AG11" s="42" t="s">
        <v>195</v>
      </c>
      <c r="AH11" s="52" t="str">
        <f t="shared" ca="1" si="6"/>
        <v>Im Plan</v>
      </c>
      <c r="AI11" s="53">
        <f t="shared" si="7"/>
        <v>1</v>
      </c>
      <c r="AJ11" s="44" t="s">
        <v>196</v>
      </c>
    </row>
    <row r="12" spans="1:36" ht="18" customHeight="1" x14ac:dyDescent="0.2">
      <c r="A12" s="41" t="s">
        <v>197</v>
      </c>
      <c r="B12" s="42" t="s">
        <v>149</v>
      </c>
      <c r="C12" s="43" t="s">
        <v>51</v>
      </c>
      <c r="D12" s="44" t="s">
        <v>198</v>
      </c>
      <c r="E12" s="42" t="s">
        <v>67</v>
      </c>
      <c r="F12" s="42" t="s">
        <v>171</v>
      </c>
      <c r="G12" s="45">
        <v>4.2</v>
      </c>
      <c r="H12" s="45">
        <v>3.1</v>
      </c>
      <c r="I12" s="45">
        <v>3.1</v>
      </c>
      <c r="J12" s="46">
        <f t="shared" si="0"/>
        <v>13.02</v>
      </c>
      <c r="K12" s="46">
        <f t="shared" si="1"/>
        <v>14.6</v>
      </c>
      <c r="L12" s="46">
        <f t="shared" si="2"/>
        <v>40.36</v>
      </c>
      <c r="M12" s="47">
        <v>2</v>
      </c>
      <c r="N12" s="47">
        <v>1</v>
      </c>
      <c r="O12" s="46">
        <f t="shared" si="3"/>
        <v>39.46</v>
      </c>
      <c r="P12" s="42" t="s">
        <v>175</v>
      </c>
      <c r="Q12" s="42" t="s">
        <v>193</v>
      </c>
      <c r="R12" s="42" t="s">
        <v>194</v>
      </c>
      <c r="S12" s="42" t="s">
        <v>155</v>
      </c>
      <c r="T12" s="42" t="s">
        <v>156</v>
      </c>
      <c r="U12" s="47">
        <v>2</v>
      </c>
      <c r="V12" s="47">
        <v>0</v>
      </c>
      <c r="W12" s="43" t="s">
        <v>172</v>
      </c>
      <c r="X12" s="47">
        <v>0</v>
      </c>
      <c r="Y12" s="42" t="s">
        <v>158</v>
      </c>
      <c r="Z12" s="48">
        <f>IF($J12="","",ROUND($J12*IFERROR(VLOOKUP($P12,Stammdaten!$B$26:$C$34,2,FALSE()),0),0))</f>
        <v>1250</v>
      </c>
      <c r="AA12" s="48">
        <f>IF($O12="","",ROUND($O12*IFERROR(VLOOKUP($Q12,Stammdaten!$E$26:$F$32,2,FALSE()),0),0))</f>
        <v>3394</v>
      </c>
      <c r="AB12" s="48">
        <f>IF($J12="","",ROUND($J12*IFERROR(VLOOKUP($R12,Stammdaten!$H$26:$I$31,2,FALSE()),0),0))</f>
        <v>859</v>
      </c>
      <c r="AC12" s="49">
        <f t="shared" si="4"/>
        <v>5503</v>
      </c>
      <c r="AD12" s="50">
        <f t="shared" si="5"/>
        <v>422.66</v>
      </c>
      <c r="AE12" s="43" t="s">
        <v>77</v>
      </c>
      <c r="AF12" s="51">
        <v>46234</v>
      </c>
      <c r="AG12" s="42" t="s">
        <v>195</v>
      </c>
      <c r="AH12" s="52" t="str">
        <f t="shared" ca="1" si="6"/>
        <v>Überfällig</v>
      </c>
      <c r="AI12" s="53">
        <f t="shared" si="7"/>
        <v>1</v>
      </c>
      <c r="AJ12" s="44" t="s">
        <v>199</v>
      </c>
    </row>
    <row r="13" spans="1:36" ht="18" customHeight="1" x14ac:dyDescent="0.2">
      <c r="A13" s="41" t="s">
        <v>200</v>
      </c>
      <c r="B13" s="42" t="s">
        <v>149</v>
      </c>
      <c r="C13" s="43" t="s">
        <v>51</v>
      </c>
      <c r="D13" s="44" t="s">
        <v>201</v>
      </c>
      <c r="E13" s="42" t="s">
        <v>67</v>
      </c>
      <c r="F13" s="42" t="s">
        <v>171</v>
      </c>
      <c r="G13" s="45">
        <v>4.2</v>
      </c>
      <c r="H13" s="45">
        <v>2.8</v>
      </c>
      <c r="I13" s="45">
        <v>3.1</v>
      </c>
      <c r="J13" s="46">
        <f t="shared" si="0"/>
        <v>11.76</v>
      </c>
      <c r="K13" s="46">
        <f t="shared" si="1"/>
        <v>14</v>
      </c>
      <c r="L13" s="46">
        <f t="shared" si="2"/>
        <v>36.46</v>
      </c>
      <c r="M13" s="47">
        <v>2</v>
      </c>
      <c r="N13" s="47">
        <v>1</v>
      </c>
      <c r="O13" s="46">
        <f t="shared" si="3"/>
        <v>37.6</v>
      </c>
      <c r="P13" s="42" t="s">
        <v>175</v>
      </c>
      <c r="Q13" s="42" t="s">
        <v>193</v>
      </c>
      <c r="R13" s="42" t="s">
        <v>194</v>
      </c>
      <c r="S13" s="42" t="s">
        <v>155</v>
      </c>
      <c r="T13" s="42" t="s">
        <v>156</v>
      </c>
      <c r="U13" s="47">
        <v>2</v>
      </c>
      <c r="V13" s="47">
        <v>0</v>
      </c>
      <c r="W13" s="43" t="s">
        <v>172</v>
      </c>
      <c r="X13" s="47">
        <v>0</v>
      </c>
      <c r="Y13" s="42" t="s">
        <v>158</v>
      </c>
      <c r="Z13" s="48">
        <f>IF($J13="","",ROUND($J13*IFERROR(VLOOKUP($P13,Stammdaten!$B$26:$C$34,2,FALSE()),0),0))</f>
        <v>1129</v>
      </c>
      <c r="AA13" s="48">
        <f>IF($O13="","",ROUND($O13*IFERROR(VLOOKUP($Q13,Stammdaten!$E$26:$F$32,2,FALSE()),0),0))</f>
        <v>3234</v>
      </c>
      <c r="AB13" s="48">
        <f>IF($J13="","",ROUND($J13*IFERROR(VLOOKUP($R13,Stammdaten!$H$26:$I$31,2,FALSE()),0),0))</f>
        <v>776</v>
      </c>
      <c r="AC13" s="49">
        <f t="shared" si="4"/>
        <v>5139</v>
      </c>
      <c r="AD13" s="50">
        <f t="shared" si="5"/>
        <v>436.99</v>
      </c>
      <c r="AE13" s="43" t="s">
        <v>77</v>
      </c>
      <c r="AF13" s="51">
        <v>46248</v>
      </c>
      <c r="AG13" s="42" t="s">
        <v>195</v>
      </c>
      <c r="AH13" s="52" t="str">
        <f t="shared" ca="1" si="6"/>
        <v>Überfällig</v>
      </c>
      <c r="AI13" s="53">
        <f t="shared" si="7"/>
        <v>1</v>
      </c>
      <c r="AJ13" s="44"/>
    </row>
    <row r="14" spans="1:36" ht="18" customHeight="1" x14ac:dyDescent="0.2">
      <c r="A14" s="41" t="s">
        <v>202</v>
      </c>
      <c r="B14" s="42" t="s">
        <v>149</v>
      </c>
      <c r="C14" s="43" t="s">
        <v>51</v>
      </c>
      <c r="D14" s="44" t="s">
        <v>203</v>
      </c>
      <c r="E14" s="42" t="s">
        <v>65</v>
      </c>
      <c r="F14" s="42" t="s">
        <v>171</v>
      </c>
      <c r="G14" s="45">
        <v>18.5</v>
      </c>
      <c r="H14" s="45">
        <v>2.4</v>
      </c>
      <c r="I14" s="45">
        <v>3.1</v>
      </c>
      <c r="J14" s="46">
        <f t="shared" si="0"/>
        <v>44.4</v>
      </c>
      <c r="K14" s="46">
        <f t="shared" si="1"/>
        <v>41.8</v>
      </c>
      <c r="L14" s="46">
        <f t="shared" si="2"/>
        <v>137.63999999999999</v>
      </c>
      <c r="M14" s="47">
        <v>8</v>
      </c>
      <c r="N14" s="47">
        <v>2</v>
      </c>
      <c r="O14" s="46">
        <f t="shared" si="3"/>
        <v>109.98</v>
      </c>
      <c r="P14" s="42" t="s">
        <v>175</v>
      </c>
      <c r="Q14" s="42" t="s">
        <v>153</v>
      </c>
      <c r="R14" s="42" t="s">
        <v>194</v>
      </c>
      <c r="S14" s="42" t="s">
        <v>164</v>
      </c>
      <c r="T14" s="42" t="s">
        <v>204</v>
      </c>
      <c r="U14" s="47">
        <v>6</v>
      </c>
      <c r="V14" s="47">
        <v>0</v>
      </c>
      <c r="W14" s="43" t="s">
        <v>180</v>
      </c>
      <c r="X14" s="47">
        <v>0</v>
      </c>
      <c r="Y14" s="42" t="s">
        <v>181</v>
      </c>
      <c r="Z14" s="48">
        <f>IF($J14="","",ROUND($J14*IFERROR(VLOOKUP($P14,Stammdaten!$B$26:$C$34,2,FALSE()),0),0))</f>
        <v>4262</v>
      </c>
      <c r="AA14" s="48">
        <f>IF($O14="","",ROUND($O14*IFERROR(VLOOKUP($Q14,Stammdaten!$E$26:$F$32,2,FALSE()),0),0))</f>
        <v>1980</v>
      </c>
      <c r="AB14" s="48">
        <f>IF($J14="","",ROUND($J14*IFERROR(VLOOKUP($R14,Stammdaten!$H$26:$I$31,2,FALSE()),0),0))</f>
        <v>2930</v>
      </c>
      <c r="AC14" s="49">
        <f t="shared" si="4"/>
        <v>9172</v>
      </c>
      <c r="AD14" s="50">
        <f t="shared" si="5"/>
        <v>206.58</v>
      </c>
      <c r="AE14" s="43" t="s">
        <v>77</v>
      </c>
      <c r="AF14" s="51">
        <v>46353</v>
      </c>
      <c r="AG14" s="42" t="s">
        <v>182</v>
      </c>
      <c r="AH14" s="52" t="str">
        <f t="shared" ca="1" si="6"/>
        <v>Im Plan</v>
      </c>
      <c r="AI14" s="53">
        <f t="shared" si="7"/>
        <v>1</v>
      </c>
      <c r="AJ14" s="44" t="s">
        <v>205</v>
      </c>
    </row>
    <row r="15" spans="1:36" ht="18" customHeight="1" x14ac:dyDescent="0.2">
      <c r="A15" s="41" t="s">
        <v>206</v>
      </c>
      <c r="B15" s="42" t="s">
        <v>149</v>
      </c>
      <c r="C15" s="43" t="s">
        <v>51</v>
      </c>
      <c r="D15" s="44" t="s">
        <v>207</v>
      </c>
      <c r="E15" s="42" t="s">
        <v>66</v>
      </c>
      <c r="F15" s="42" t="s">
        <v>171</v>
      </c>
      <c r="G15" s="45">
        <v>5.8</v>
      </c>
      <c r="H15" s="45">
        <v>4.5999999999999996</v>
      </c>
      <c r="I15" s="45">
        <v>3.1</v>
      </c>
      <c r="J15" s="46">
        <f t="shared" si="0"/>
        <v>26.68</v>
      </c>
      <c r="K15" s="46">
        <f t="shared" si="1"/>
        <v>20.8</v>
      </c>
      <c r="L15" s="46">
        <f t="shared" si="2"/>
        <v>82.71</v>
      </c>
      <c r="M15" s="47">
        <v>4</v>
      </c>
      <c r="N15" s="47">
        <v>4</v>
      </c>
      <c r="O15" s="46">
        <f t="shared" si="3"/>
        <v>49.28</v>
      </c>
      <c r="P15" s="42" t="s">
        <v>175</v>
      </c>
      <c r="Q15" s="42" t="s">
        <v>153</v>
      </c>
      <c r="R15" s="42" t="s">
        <v>154</v>
      </c>
      <c r="S15" s="42" t="s">
        <v>178</v>
      </c>
      <c r="T15" s="42" t="s">
        <v>204</v>
      </c>
      <c r="U15" s="47">
        <v>2</v>
      </c>
      <c r="V15" s="47">
        <v>0</v>
      </c>
      <c r="W15" s="43" t="s">
        <v>157</v>
      </c>
      <c r="X15" s="47">
        <v>0</v>
      </c>
      <c r="Y15" s="42" t="s">
        <v>166</v>
      </c>
      <c r="Z15" s="48">
        <f>IF($J15="","",ROUND($J15*IFERROR(VLOOKUP($P15,Stammdaten!$B$26:$C$34,2,FALSE()),0),0))</f>
        <v>2561</v>
      </c>
      <c r="AA15" s="48">
        <f>IF($O15="","",ROUND($O15*IFERROR(VLOOKUP($Q15,Stammdaten!$E$26:$F$32,2,FALSE()),0),0))</f>
        <v>887</v>
      </c>
      <c r="AB15" s="48">
        <f>IF($J15="","",ROUND($J15*IFERROR(VLOOKUP($R15,Stammdaten!$H$26:$I$31,2,FALSE()),0),0))</f>
        <v>0</v>
      </c>
      <c r="AC15" s="49">
        <f t="shared" si="4"/>
        <v>3448</v>
      </c>
      <c r="AD15" s="50">
        <f t="shared" si="5"/>
        <v>129.24</v>
      </c>
      <c r="AE15" s="43" t="s">
        <v>78</v>
      </c>
      <c r="AF15" s="51">
        <v>46136</v>
      </c>
      <c r="AG15" s="42" t="s">
        <v>159</v>
      </c>
      <c r="AH15" s="52" t="str">
        <f t="shared" ca="1" si="6"/>
        <v>Abgeschlossen</v>
      </c>
      <c r="AI15" s="53">
        <f t="shared" si="7"/>
        <v>1</v>
      </c>
      <c r="AJ15" s="44" t="s">
        <v>208</v>
      </c>
    </row>
    <row r="16" spans="1:36" ht="18" customHeight="1" x14ac:dyDescent="0.2">
      <c r="A16" s="41" t="s">
        <v>209</v>
      </c>
      <c r="B16" s="42" t="s">
        <v>149</v>
      </c>
      <c r="C16" s="43" t="s">
        <v>52</v>
      </c>
      <c r="D16" s="44" t="s">
        <v>210</v>
      </c>
      <c r="E16" s="42" t="s">
        <v>61</v>
      </c>
      <c r="F16" s="42" t="s">
        <v>163</v>
      </c>
      <c r="G16" s="45">
        <v>14.6</v>
      </c>
      <c r="H16" s="45">
        <v>9.1999999999999993</v>
      </c>
      <c r="I16" s="45">
        <v>2.9</v>
      </c>
      <c r="J16" s="46">
        <f t="shared" si="0"/>
        <v>134.32</v>
      </c>
      <c r="K16" s="46">
        <f t="shared" si="1"/>
        <v>47.6</v>
      </c>
      <c r="L16" s="46">
        <f t="shared" si="2"/>
        <v>389.53</v>
      </c>
      <c r="M16" s="47">
        <v>2</v>
      </c>
      <c r="N16" s="47">
        <v>8</v>
      </c>
      <c r="O16" s="46">
        <f t="shared" si="3"/>
        <v>119.64</v>
      </c>
      <c r="P16" s="42" t="s">
        <v>186</v>
      </c>
      <c r="Q16" s="42" t="s">
        <v>176</v>
      </c>
      <c r="R16" s="42" t="s">
        <v>211</v>
      </c>
      <c r="S16" s="42" t="s">
        <v>188</v>
      </c>
      <c r="T16" s="42" t="s">
        <v>212</v>
      </c>
      <c r="U16" s="47">
        <v>36</v>
      </c>
      <c r="V16" s="47">
        <v>36</v>
      </c>
      <c r="W16" s="43" t="s">
        <v>189</v>
      </c>
      <c r="X16" s="47">
        <v>18</v>
      </c>
      <c r="Y16" s="42" t="s">
        <v>181</v>
      </c>
      <c r="Z16" s="48">
        <f>IF($J16="","",ROUND($J16*IFERROR(VLOOKUP($P16,Stammdaten!$B$26:$C$34,2,FALSE()),0),0))</f>
        <v>5910</v>
      </c>
      <c r="AA16" s="48">
        <f>IF($O16="","",ROUND($O16*IFERROR(VLOOKUP($Q16,Stammdaten!$E$26:$F$32,2,FALSE()),0),0))</f>
        <v>3230</v>
      </c>
      <c r="AB16" s="48">
        <f>IF($J16="","",ROUND($J16*IFERROR(VLOOKUP($R16,Stammdaten!$H$26:$I$31,2,FALSE()),0),0))</f>
        <v>6582</v>
      </c>
      <c r="AC16" s="49">
        <f t="shared" si="4"/>
        <v>15722</v>
      </c>
      <c r="AD16" s="50">
        <f t="shared" si="5"/>
        <v>117.05</v>
      </c>
      <c r="AE16" s="43" t="s">
        <v>77</v>
      </c>
      <c r="AF16" s="51">
        <v>46367</v>
      </c>
      <c r="AG16" s="42" t="s">
        <v>15</v>
      </c>
      <c r="AH16" s="52" t="str">
        <f t="shared" ca="1" si="6"/>
        <v>Im Plan</v>
      </c>
      <c r="AI16" s="53">
        <f t="shared" si="7"/>
        <v>1</v>
      </c>
      <c r="AJ16" s="44" t="s">
        <v>213</v>
      </c>
    </row>
    <row r="17" spans="1:36" ht="18" customHeight="1" x14ac:dyDescent="0.2">
      <c r="A17" s="41" t="s">
        <v>214</v>
      </c>
      <c r="B17" s="42" t="s">
        <v>149</v>
      </c>
      <c r="C17" s="43" t="s">
        <v>52</v>
      </c>
      <c r="D17" s="44" t="s">
        <v>215</v>
      </c>
      <c r="E17" s="42" t="s">
        <v>59</v>
      </c>
      <c r="F17" s="42" t="s">
        <v>163</v>
      </c>
      <c r="G17" s="45">
        <v>4.8</v>
      </c>
      <c r="H17" s="45">
        <v>3.9</v>
      </c>
      <c r="I17" s="45">
        <v>2.9</v>
      </c>
      <c r="J17" s="46">
        <f t="shared" si="0"/>
        <v>18.72</v>
      </c>
      <c r="K17" s="46">
        <f t="shared" si="1"/>
        <v>17.399999999999999</v>
      </c>
      <c r="L17" s="46">
        <f t="shared" si="2"/>
        <v>54.29</v>
      </c>
      <c r="M17" s="47">
        <v>1</v>
      </c>
      <c r="N17" s="47">
        <v>2</v>
      </c>
      <c r="O17" s="46">
        <f t="shared" si="3"/>
        <v>44.86</v>
      </c>
      <c r="P17" s="42" t="s">
        <v>186</v>
      </c>
      <c r="Q17" s="42" t="s">
        <v>176</v>
      </c>
      <c r="R17" s="42" t="s">
        <v>211</v>
      </c>
      <c r="S17" s="42" t="s">
        <v>188</v>
      </c>
      <c r="T17" s="42" t="s">
        <v>204</v>
      </c>
      <c r="U17" s="47">
        <v>8</v>
      </c>
      <c r="V17" s="47">
        <v>4</v>
      </c>
      <c r="W17" s="43" t="s">
        <v>189</v>
      </c>
      <c r="X17" s="47">
        <v>1</v>
      </c>
      <c r="Y17" s="42" t="s">
        <v>181</v>
      </c>
      <c r="Z17" s="48">
        <f>IF($J17="","",ROUND($J17*IFERROR(VLOOKUP($P17,Stammdaten!$B$26:$C$34,2,FALSE()),0),0))</f>
        <v>824</v>
      </c>
      <c r="AA17" s="48">
        <f>IF($O17="","",ROUND($O17*IFERROR(VLOOKUP($Q17,Stammdaten!$E$26:$F$32,2,FALSE()),0),0))</f>
        <v>1211</v>
      </c>
      <c r="AB17" s="48">
        <f>IF($J17="","",ROUND($J17*IFERROR(VLOOKUP($R17,Stammdaten!$H$26:$I$31,2,FALSE()),0),0))</f>
        <v>917</v>
      </c>
      <c r="AC17" s="49">
        <f t="shared" si="4"/>
        <v>2952</v>
      </c>
      <c r="AD17" s="50">
        <f t="shared" si="5"/>
        <v>157.69</v>
      </c>
      <c r="AE17" s="43" t="s">
        <v>76</v>
      </c>
      <c r="AF17" s="51">
        <v>46374</v>
      </c>
      <c r="AG17" s="42" t="s">
        <v>15</v>
      </c>
      <c r="AH17" s="52" t="str">
        <f t="shared" ca="1" si="6"/>
        <v>Im Plan</v>
      </c>
      <c r="AI17" s="53">
        <f t="shared" si="7"/>
        <v>1</v>
      </c>
      <c r="AJ17" s="44"/>
    </row>
    <row r="18" spans="1:36" ht="18" customHeight="1" x14ac:dyDescent="0.2">
      <c r="A18" s="41" t="s">
        <v>216</v>
      </c>
      <c r="B18" s="42" t="s">
        <v>149</v>
      </c>
      <c r="C18" s="43" t="s">
        <v>52</v>
      </c>
      <c r="D18" s="44" t="s">
        <v>217</v>
      </c>
      <c r="E18" s="42" t="s">
        <v>60</v>
      </c>
      <c r="F18" s="42" t="s">
        <v>218</v>
      </c>
      <c r="G18" s="45">
        <v>7.2</v>
      </c>
      <c r="H18" s="45">
        <v>5.0999999999999996</v>
      </c>
      <c r="I18" s="45">
        <v>2.9</v>
      </c>
      <c r="J18" s="46">
        <f t="shared" si="0"/>
        <v>36.72</v>
      </c>
      <c r="K18" s="46">
        <f t="shared" si="1"/>
        <v>24.6</v>
      </c>
      <c r="L18" s="46">
        <f t="shared" si="2"/>
        <v>106.49</v>
      </c>
      <c r="M18" s="47">
        <v>1</v>
      </c>
      <c r="N18" s="47">
        <v>3</v>
      </c>
      <c r="O18" s="46">
        <f t="shared" si="3"/>
        <v>63.94</v>
      </c>
      <c r="P18" s="42" t="s">
        <v>186</v>
      </c>
      <c r="Q18" s="42" t="s">
        <v>176</v>
      </c>
      <c r="R18" s="42" t="s">
        <v>211</v>
      </c>
      <c r="S18" s="42" t="s">
        <v>188</v>
      </c>
      <c r="T18" s="42" t="s">
        <v>204</v>
      </c>
      <c r="U18" s="47">
        <v>14</v>
      </c>
      <c r="V18" s="47">
        <v>12</v>
      </c>
      <c r="W18" s="43" t="s">
        <v>189</v>
      </c>
      <c r="X18" s="47">
        <v>4</v>
      </c>
      <c r="Y18" s="42" t="s">
        <v>181</v>
      </c>
      <c r="Z18" s="48">
        <f>IF($J18="","",ROUND($J18*IFERROR(VLOOKUP($P18,Stammdaten!$B$26:$C$34,2,FALSE()),0),0))</f>
        <v>1616</v>
      </c>
      <c r="AA18" s="48">
        <f>IF($O18="","",ROUND($O18*IFERROR(VLOOKUP($Q18,Stammdaten!$E$26:$F$32,2,FALSE()),0),0))</f>
        <v>1726</v>
      </c>
      <c r="AB18" s="48">
        <f>IF($J18="","",ROUND($J18*IFERROR(VLOOKUP($R18,Stammdaten!$H$26:$I$31,2,FALSE()),0),0))</f>
        <v>1799</v>
      </c>
      <c r="AC18" s="49">
        <f t="shared" si="4"/>
        <v>5141</v>
      </c>
      <c r="AD18" s="50">
        <f t="shared" si="5"/>
        <v>140.01</v>
      </c>
      <c r="AE18" s="43" t="s">
        <v>76</v>
      </c>
      <c r="AF18" s="51">
        <v>46374</v>
      </c>
      <c r="AG18" s="42" t="s">
        <v>15</v>
      </c>
      <c r="AH18" s="52" t="str">
        <f t="shared" ca="1" si="6"/>
        <v>Im Plan</v>
      </c>
      <c r="AI18" s="53">
        <f t="shared" si="7"/>
        <v>1</v>
      </c>
      <c r="AJ18" s="44"/>
    </row>
    <row r="19" spans="1:36" ht="18" customHeight="1" x14ac:dyDescent="0.2">
      <c r="A19" s="41" t="s">
        <v>219</v>
      </c>
      <c r="B19" s="42" t="s">
        <v>149</v>
      </c>
      <c r="C19" s="43" t="s">
        <v>52</v>
      </c>
      <c r="D19" s="44" t="s">
        <v>220</v>
      </c>
      <c r="E19" s="42" t="s">
        <v>69</v>
      </c>
      <c r="F19" s="42" t="s">
        <v>171</v>
      </c>
      <c r="G19" s="45">
        <v>3.6</v>
      </c>
      <c r="H19" s="45">
        <v>2.8</v>
      </c>
      <c r="I19" s="45">
        <v>2.9</v>
      </c>
      <c r="J19" s="46">
        <f t="shared" si="0"/>
        <v>10.08</v>
      </c>
      <c r="K19" s="46">
        <f t="shared" si="1"/>
        <v>12.8</v>
      </c>
      <c r="L19" s="46">
        <f t="shared" si="2"/>
        <v>29.23</v>
      </c>
      <c r="M19" s="47">
        <v>1</v>
      </c>
      <c r="N19" s="47">
        <v>0</v>
      </c>
      <c r="O19" s="46">
        <f t="shared" si="3"/>
        <v>35.119999999999997</v>
      </c>
      <c r="P19" s="42" t="s">
        <v>221</v>
      </c>
      <c r="Q19" s="42" t="s">
        <v>222</v>
      </c>
      <c r="R19" s="42" t="s">
        <v>211</v>
      </c>
      <c r="S19" s="42" t="s">
        <v>188</v>
      </c>
      <c r="T19" s="42" t="s">
        <v>212</v>
      </c>
      <c r="U19" s="47">
        <v>6</v>
      </c>
      <c r="V19" s="47">
        <v>2</v>
      </c>
      <c r="W19" s="43" t="s">
        <v>189</v>
      </c>
      <c r="X19" s="47">
        <v>0</v>
      </c>
      <c r="Y19" s="42" t="s">
        <v>181</v>
      </c>
      <c r="Z19" s="48">
        <f>IF($J19="","",ROUND($J19*IFERROR(VLOOKUP($P19,Stammdaten!$B$26:$C$34,2,FALSE()),0),0))</f>
        <v>696</v>
      </c>
      <c r="AA19" s="48">
        <f>IF($O19="","",ROUND($O19*IFERROR(VLOOKUP($Q19,Stammdaten!$E$26:$F$32,2,FALSE()),0),0))</f>
        <v>1194</v>
      </c>
      <c r="AB19" s="48">
        <f>IF($J19="","",ROUND($J19*IFERROR(VLOOKUP($R19,Stammdaten!$H$26:$I$31,2,FALSE()),0),0))</f>
        <v>494</v>
      </c>
      <c r="AC19" s="49">
        <f t="shared" si="4"/>
        <v>2384</v>
      </c>
      <c r="AD19" s="50">
        <f t="shared" si="5"/>
        <v>236.51</v>
      </c>
      <c r="AE19" s="43" t="s">
        <v>76</v>
      </c>
      <c r="AF19" s="51">
        <v>46360</v>
      </c>
      <c r="AG19" s="42" t="s">
        <v>15</v>
      </c>
      <c r="AH19" s="52" t="str">
        <f t="shared" ca="1" si="6"/>
        <v>Im Plan</v>
      </c>
      <c r="AI19" s="53">
        <f t="shared" si="7"/>
        <v>1</v>
      </c>
      <c r="AJ19" s="44" t="s">
        <v>223</v>
      </c>
    </row>
    <row r="20" spans="1:36" ht="18" customHeight="1" x14ac:dyDescent="0.2">
      <c r="A20" s="41" t="s">
        <v>224</v>
      </c>
      <c r="B20" s="42" t="s">
        <v>149</v>
      </c>
      <c r="C20" s="43" t="s">
        <v>52</v>
      </c>
      <c r="D20" s="44" t="s">
        <v>225</v>
      </c>
      <c r="E20" s="42" t="s">
        <v>65</v>
      </c>
      <c r="F20" s="42" t="s">
        <v>171</v>
      </c>
      <c r="G20" s="45">
        <v>18.5</v>
      </c>
      <c r="H20" s="45">
        <v>2.4</v>
      </c>
      <c r="I20" s="45">
        <v>2.9</v>
      </c>
      <c r="J20" s="46">
        <f t="shared" si="0"/>
        <v>44.4</v>
      </c>
      <c r="K20" s="46">
        <f t="shared" si="1"/>
        <v>41.8</v>
      </c>
      <c r="L20" s="46">
        <f t="shared" si="2"/>
        <v>128.76</v>
      </c>
      <c r="M20" s="47">
        <v>9</v>
      </c>
      <c r="N20" s="47">
        <v>2</v>
      </c>
      <c r="O20" s="46">
        <f t="shared" si="3"/>
        <v>99.62</v>
      </c>
      <c r="P20" s="42" t="s">
        <v>221</v>
      </c>
      <c r="Q20" s="42" t="s">
        <v>153</v>
      </c>
      <c r="R20" s="42" t="s">
        <v>211</v>
      </c>
      <c r="S20" s="42" t="s">
        <v>164</v>
      </c>
      <c r="T20" s="42" t="s">
        <v>204</v>
      </c>
      <c r="U20" s="47">
        <v>6</v>
      </c>
      <c r="V20" s="47">
        <v>0</v>
      </c>
      <c r="W20" s="43" t="s">
        <v>180</v>
      </c>
      <c r="X20" s="47">
        <v>0</v>
      </c>
      <c r="Y20" s="42" t="s">
        <v>181</v>
      </c>
      <c r="Z20" s="48">
        <f>IF($J20="","",ROUND($J20*IFERROR(VLOOKUP($P20,Stammdaten!$B$26:$C$34,2,FALSE()),0),0))</f>
        <v>3064</v>
      </c>
      <c r="AA20" s="48">
        <f>IF($O20="","",ROUND($O20*IFERROR(VLOOKUP($Q20,Stammdaten!$E$26:$F$32,2,FALSE()),0),0))</f>
        <v>1793</v>
      </c>
      <c r="AB20" s="48">
        <f>IF($J20="","",ROUND($J20*IFERROR(VLOOKUP($R20,Stammdaten!$H$26:$I$31,2,FALSE()),0),0))</f>
        <v>2176</v>
      </c>
      <c r="AC20" s="49">
        <f t="shared" si="4"/>
        <v>7033</v>
      </c>
      <c r="AD20" s="50">
        <f t="shared" si="5"/>
        <v>158.4</v>
      </c>
      <c r="AE20" s="43" t="s">
        <v>77</v>
      </c>
      <c r="AF20" s="51">
        <v>46367</v>
      </c>
      <c r="AG20" s="42" t="s">
        <v>182</v>
      </c>
      <c r="AH20" s="52" t="str">
        <f t="shared" ca="1" si="6"/>
        <v>Im Plan</v>
      </c>
      <c r="AI20" s="53">
        <f t="shared" si="7"/>
        <v>1</v>
      </c>
      <c r="AJ20" s="44"/>
    </row>
    <row r="21" spans="1:36" ht="18" customHeight="1" x14ac:dyDescent="0.2">
      <c r="A21" s="41" t="s">
        <v>226</v>
      </c>
      <c r="B21" s="42" t="s">
        <v>149</v>
      </c>
      <c r="C21" s="43" t="s">
        <v>53</v>
      </c>
      <c r="D21" s="44" t="s">
        <v>227</v>
      </c>
      <c r="E21" s="42" t="s">
        <v>63</v>
      </c>
      <c r="F21" s="42" t="s">
        <v>228</v>
      </c>
      <c r="G21" s="45">
        <v>10.4</v>
      </c>
      <c r="H21" s="45">
        <v>7.6</v>
      </c>
      <c r="I21" s="45">
        <v>2.9</v>
      </c>
      <c r="J21" s="46">
        <f t="shared" si="0"/>
        <v>79.040000000000006</v>
      </c>
      <c r="K21" s="46">
        <f t="shared" si="1"/>
        <v>36</v>
      </c>
      <c r="L21" s="46">
        <f t="shared" si="2"/>
        <v>229.22</v>
      </c>
      <c r="M21" s="47">
        <v>2</v>
      </c>
      <c r="N21" s="47">
        <v>4</v>
      </c>
      <c r="O21" s="46">
        <f t="shared" si="3"/>
        <v>93.2</v>
      </c>
      <c r="P21" s="42" t="s">
        <v>221</v>
      </c>
      <c r="Q21" s="42" t="s">
        <v>187</v>
      </c>
      <c r="R21" s="42" t="s">
        <v>177</v>
      </c>
      <c r="S21" s="42" t="s">
        <v>188</v>
      </c>
      <c r="T21" s="42" t="s">
        <v>156</v>
      </c>
      <c r="U21" s="47">
        <v>16</v>
      </c>
      <c r="V21" s="47">
        <v>8</v>
      </c>
      <c r="W21" s="43" t="s">
        <v>189</v>
      </c>
      <c r="X21" s="47">
        <v>24</v>
      </c>
      <c r="Y21" s="42" t="s">
        <v>181</v>
      </c>
      <c r="Z21" s="48">
        <f>IF($J21="","",ROUND($J21*IFERROR(VLOOKUP($P21,Stammdaten!$B$26:$C$34,2,FALSE()),0),0))</f>
        <v>5454</v>
      </c>
      <c r="AA21" s="48">
        <f>IF($O21="","",ROUND($O21*IFERROR(VLOOKUP($Q21,Stammdaten!$E$26:$F$32,2,FALSE()),0),0))</f>
        <v>13234</v>
      </c>
      <c r="AB21" s="48">
        <f>IF($J21="","",ROUND($J21*IFERROR(VLOOKUP($R21,Stammdaten!$H$26:$I$31,2,FALSE()),0),0))</f>
        <v>7430</v>
      </c>
      <c r="AC21" s="49">
        <f t="shared" si="4"/>
        <v>26118</v>
      </c>
      <c r="AD21" s="50">
        <f t="shared" si="5"/>
        <v>330.44</v>
      </c>
      <c r="AE21" s="43" t="s">
        <v>75</v>
      </c>
      <c r="AF21" s="51">
        <v>46378</v>
      </c>
      <c r="AG21" s="42" t="s">
        <v>229</v>
      </c>
      <c r="AH21" s="52" t="str">
        <f t="shared" ca="1" si="6"/>
        <v>Im Plan</v>
      </c>
      <c r="AI21" s="53">
        <f t="shared" si="7"/>
        <v>1</v>
      </c>
      <c r="AJ21" s="44" t="s">
        <v>230</v>
      </c>
    </row>
    <row r="22" spans="1:36" ht="18" customHeight="1" x14ac:dyDescent="0.2">
      <c r="A22" s="41" t="s">
        <v>231</v>
      </c>
      <c r="B22" s="42" t="s">
        <v>149</v>
      </c>
      <c r="C22" s="43" t="s">
        <v>53</v>
      </c>
      <c r="D22" s="44" t="s">
        <v>72</v>
      </c>
      <c r="E22" s="42" t="s">
        <v>72</v>
      </c>
      <c r="F22" s="42" t="s">
        <v>151</v>
      </c>
      <c r="G22" s="45">
        <v>4.5999999999999996</v>
      </c>
      <c r="H22" s="45">
        <v>3.8</v>
      </c>
      <c r="I22" s="45">
        <v>2.9</v>
      </c>
      <c r="J22" s="46">
        <f t="shared" si="0"/>
        <v>17.48</v>
      </c>
      <c r="K22" s="46">
        <f t="shared" si="1"/>
        <v>16.8</v>
      </c>
      <c r="L22" s="46">
        <f t="shared" si="2"/>
        <v>50.69</v>
      </c>
      <c r="M22" s="47">
        <v>1</v>
      </c>
      <c r="N22" s="47">
        <v>0</v>
      </c>
      <c r="O22" s="46">
        <f t="shared" si="3"/>
        <v>46.72</v>
      </c>
      <c r="P22" s="42" t="s">
        <v>232</v>
      </c>
      <c r="Q22" s="42" t="s">
        <v>233</v>
      </c>
      <c r="R22" s="42" t="s">
        <v>154</v>
      </c>
      <c r="S22" s="42" t="s">
        <v>188</v>
      </c>
      <c r="T22" s="42" t="s">
        <v>234</v>
      </c>
      <c r="U22" s="47">
        <v>12</v>
      </c>
      <c r="V22" s="47">
        <v>24</v>
      </c>
      <c r="W22" s="43" t="s">
        <v>157</v>
      </c>
      <c r="X22" s="47">
        <v>0</v>
      </c>
      <c r="Y22" s="42" t="s">
        <v>181</v>
      </c>
      <c r="Z22" s="48">
        <f>IF($J22="","",ROUND($J22*IFERROR(VLOOKUP($P22,Stammdaten!$B$26:$C$34,2,FALSE()),0),0))</f>
        <v>2587</v>
      </c>
      <c r="AA22" s="48">
        <f>IF($O22="","",ROUND($O22*IFERROR(VLOOKUP($Q22,Stammdaten!$E$26:$F$32,2,FALSE()),0),0))</f>
        <v>2943</v>
      </c>
      <c r="AB22" s="48">
        <f>IF($J22="","",ROUND($J22*IFERROR(VLOOKUP($R22,Stammdaten!$H$26:$I$31,2,FALSE()),0),0))</f>
        <v>0</v>
      </c>
      <c r="AC22" s="49">
        <f t="shared" si="4"/>
        <v>5530</v>
      </c>
      <c r="AD22" s="50">
        <f t="shared" si="5"/>
        <v>316.36</v>
      </c>
      <c r="AE22" s="43" t="s">
        <v>77</v>
      </c>
      <c r="AF22" s="51">
        <v>46269</v>
      </c>
      <c r="AG22" s="42" t="s">
        <v>159</v>
      </c>
      <c r="AH22" s="52" t="str">
        <f t="shared" ca="1" si="6"/>
        <v>Fällig ≤ 30 Tage</v>
      </c>
      <c r="AI22" s="53">
        <f t="shared" si="7"/>
        <v>1</v>
      </c>
      <c r="AJ22" s="44" t="s">
        <v>235</v>
      </c>
    </row>
    <row r="23" spans="1:36" ht="18" customHeight="1" x14ac:dyDescent="0.2">
      <c r="A23" s="41" t="s">
        <v>236</v>
      </c>
      <c r="B23" s="42" t="s">
        <v>149</v>
      </c>
      <c r="C23" s="43" t="s">
        <v>53</v>
      </c>
      <c r="D23" s="44" t="s">
        <v>237</v>
      </c>
      <c r="E23" s="42" t="s">
        <v>60</v>
      </c>
      <c r="F23" s="42" t="s">
        <v>163</v>
      </c>
      <c r="G23" s="45">
        <v>7.2</v>
      </c>
      <c r="H23" s="45">
        <v>5.0999999999999996</v>
      </c>
      <c r="I23" s="45">
        <v>2.9</v>
      </c>
      <c r="J23" s="46">
        <f t="shared" si="0"/>
        <v>36.72</v>
      </c>
      <c r="K23" s="46">
        <f t="shared" si="1"/>
        <v>24.6</v>
      </c>
      <c r="L23" s="46">
        <f t="shared" si="2"/>
        <v>106.49</v>
      </c>
      <c r="M23" s="47">
        <v>1</v>
      </c>
      <c r="N23" s="47">
        <v>3</v>
      </c>
      <c r="O23" s="46">
        <f t="shared" si="3"/>
        <v>63.94</v>
      </c>
      <c r="P23" s="42" t="s">
        <v>186</v>
      </c>
      <c r="Q23" s="42" t="s">
        <v>176</v>
      </c>
      <c r="R23" s="42" t="s">
        <v>211</v>
      </c>
      <c r="S23" s="42" t="s">
        <v>188</v>
      </c>
      <c r="T23" s="42" t="s">
        <v>204</v>
      </c>
      <c r="U23" s="47">
        <v>14</v>
      </c>
      <c r="V23" s="47">
        <v>12</v>
      </c>
      <c r="W23" s="43" t="s">
        <v>189</v>
      </c>
      <c r="X23" s="47">
        <v>4</v>
      </c>
      <c r="Y23" s="42" t="s">
        <v>181</v>
      </c>
      <c r="Z23" s="48">
        <f>IF($J23="","",ROUND($J23*IFERROR(VLOOKUP($P23,Stammdaten!$B$26:$C$34,2,FALSE()),0),0))</f>
        <v>1616</v>
      </c>
      <c r="AA23" s="48">
        <f>IF($O23="","",ROUND($O23*IFERROR(VLOOKUP($Q23,Stammdaten!$E$26:$F$32,2,FALSE()),0),0))</f>
        <v>1726</v>
      </c>
      <c r="AB23" s="48">
        <f>IF($J23="","",ROUND($J23*IFERROR(VLOOKUP($R23,Stammdaten!$H$26:$I$31,2,FALSE()),0),0))</f>
        <v>1799</v>
      </c>
      <c r="AC23" s="49">
        <f t="shared" si="4"/>
        <v>5141</v>
      </c>
      <c r="AD23" s="50">
        <f t="shared" si="5"/>
        <v>140.01</v>
      </c>
      <c r="AE23" s="43" t="s">
        <v>75</v>
      </c>
      <c r="AF23" s="51">
        <v>46378</v>
      </c>
      <c r="AG23" s="42" t="s">
        <v>229</v>
      </c>
      <c r="AH23" s="52" t="str">
        <f t="shared" ca="1" si="6"/>
        <v>Im Plan</v>
      </c>
      <c r="AI23" s="53">
        <f t="shared" si="7"/>
        <v>1</v>
      </c>
      <c r="AJ23" s="44"/>
    </row>
    <row r="24" spans="1:36" ht="18" customHeight="1" x14ac:dyDescent="0.2">
      <c r="A24" s="41" t="s">
        <v>238</v>
      </c>
      <c r="B24" s="42" t="s">
        <v>149</v>
      </c>
      <c r="C24" s="43" t="s">
        <v>53</v>
      </c>
      <c r="D24" s="44" t="s">
        <v>239</v>
      </c>
      <c r="E24" s="42" t="s">
        <v>68</v>
      </c>
      <c r="F24" s="42" t="s">
        <v>228</v>
      </c>
      <c r="G24" s="45">
        <v>6.4</v>
      </c>
      <c r="H24" s="45">
        <v>4.9000000000000004</v>
      </c>
      <c r="I24" s="45">
        <v>2.9</v>
      </c>
      <c r="J24" s="46">
        <f t="shared" si="0"/>
        <v>31.36</v>
      </c>
      <c r="K24" s="46">
        <f t="shared" si="1"/>
        <v>22.6</v>
      </c>
      <c r="L24" s="46">
        <f t="shared" si="2"/>
        <v>90.94</v>
      </c>
      <c r="M24" s="47">
        <v>1</v>
      </c>
      <c r="N24" s="47">
        <v>3</v>
      </c>
      <c r="O24" s="46">
        <f t="shared" si="3"/>
        <v>58.14</v>
      </c>
      <c r="P24" s="42" t="s">
        <v>240</v>
      </c>
      <c r="Q24" s="42" t="s">
        <v>193</v>
      </c>
      <c r="R24" s="42" t="s">
        <v>177</v>
      </c>
      <c r="S24" s="42" t="s">
        <v>241</v>
      </c>
      <c r="T24" s="42" t="s">
        <v>212</v>
      </c>
      <c r="U24" s="47">
        <v>10</v>
      </c>
      <c r="V24" s="47">
        <v>2</v>
      </c>
      <c r="W24" s="43" t="s">
        <v>189</v>
      </c>
      <c r="X24" s="47">
        <v>0</v>
      </c>
      <c r="Y24" s="42" t="s">
        <v>181</v>
      </c>
      <c r="Z24" s="48">
        <f>IF($J24="","",ROUND($J24*IFERROR(VLOOKUP($P24,Stammdaten!$B$26:$C$34,2,FALSE()),0),0))</f>
        <v>2446</v>
      </c>
      <c r="AA24" s="48">
        <f>IF($O24="","",ROUND($O24*IFERROR(VLOOKUP($Q24,Stammdaten!$E$26:$F$32,2,FALSE()),0),0))</f>
        <v>5000</v>
      </c>
      <c r="AB24" s="48">
        <f>IF($J24="","",ROUND($J24*IFERROR(VLOOKUP($R24,Stammdaten!$H$26:$I$31,2,FALSE()),0),0))</f>
        <v>2948</v>
      </c>
      <c r="AC24" s="49">
        <f t="shared" si="4"/>
        <v>10394</v>
      </c>
      <c r="AD24" s="50">
        <f t="shared" si="5"/>
        <v>331.44</v>
      </c>
      <c r="AE24" s="43" t="s">
        <v>75</v>
      </c>
      <c r="AF24" s="51">
        <v>46378</v>
      </c>
      <c r="AG24" s="42" t="s">
        <v>229</v>
      </c>
      <c r="AH24" s="52" t="str">
        <f t="shared" ca="1" si="6"/>
        <v>Im Plan</v>
      </c>
      <c r="AI24" s="53">
        <f t="shared" si="7"/>
        <v>1</v>
      </c>
      <c r="AJ24" s="44"/>
    </row>
    <row r="25" spans="1:36" ht="18" customHeight="1" x14ac:dyDescent="0.2">
      <c r="A25" s="41" t="s">
        <v>242</v>
      </c>
      <c r="B25" s="42" t="s">
        <v>243</v>
      </c>
      <c r="C25" s="43" t="s">
        <v>51</v>
      </c>
      <c r="D25" s="44" t="s">
        <v>244</v>
      </c>
      <c r="E25" s="42" t="s">
        <v>64</v>
      </c>
      <c r="F25" s="42" t="s">
        <v>171</v>
      </c>
      <c r="G25" s="45">
        <v>4.8</v>
      </c>
      <c r="H25" s="45">
        <v>3.2</v>
      </c>
      <c r="I25" s="45">
        <v>3.2</v>
      </c>
      <c r="J25" s="46">
        <f t="shared" si="0"/>
        <v>15.36</v>
      </c>
      <c r="K25" s="46">
        <f t="shared" si="1"/>
        <v>16</v>
      </c>
      <c r="L25" s="46">
        <f t="shared" si="2"/>
        <v>49.15</v>
      </c>
      <c r="M25" s="47">
        <v>2</v>
      </c>
      <c r="N25" s="47">
        <v>2</v>
      </c>
      <c r="O25" s="46">
        <f t="shared" si="3"/>
        <v>43.6</v>
      </c>
      <c r="P25" s="42" t="s">
        <v>175</v>
      </c>
      <c r="Q25" s="42" t="s">
        <v>154</v>
      </c>
      <c r="R25" s="42" t="s">
        <v>154</v>
      </c>
      <c r="S25" s="42" t="s">
        <v>178</v>
      </c>
      <c r="T25" s="42" t="s">
        <v>179</v>
      </c>
      <c r="U25" s="47">
        <v>2</v>
      </c>
      <c r="V25" s="47">
        <v>0</v>
      </c>
      <c r="W25" s="43" t="s">
        <v>180</v>
      </c>
      <c r="X25" s="47">
        <v>0</v>
      </c>
      <c r="Y25" s="42" t="s">
        <v>158</v>
      </c>
      <c r="Z25" s="48">
        <f>IF($J25="","",ROUND($J25*IFERROR(VLOOKUP($P25,Stammdaten!$B$26:$C$34,2,FALSE()),0),0))</f>
        <v>1475</v>
      </c>
      <c r="AA25" s="48">
        <f>IF($O25="","",ROUND($O25*IFERROR(VLOOKUP($Q25,Stammdaten!$E$26:$F$32,2,FALSE()),0),0))</f>
        <v>0</v>
      </c>
      <c r="AB25" s="48">
        <f>IF($J25="","",ROUND($J25*IFERROR(VLOOKUP($R25,Stammdaten!$H$26:$I$31,2,FALSE()),0),0))</f>
        <v>0</v>
      </c>
      <c r="AC25" s="49">
        <f t="shared" si="4"/>
        <v>1475</v>
      </c>
      <c r="AD25" s="50">
        <f t="shared" si="5"/>
        <v>96.03</v>
      </c>
      <c r="AE25" s="43" t="s">
        <v>78</v>
      </c>
      <c r="AF25" s="51">
        <v>46157</v>
      </c>
      <c r="AG25" s="42" t="s">
        <v>182</v>
      </c>
      <c r="AH25" s="52" t="str">
        <f t="shared" ca="1" si="6"/>
        <v>Abgeschlossen</v>
      </c>
      <c r="AI25" s="53">
        <f t="shared" si="7"/>
        <v>1</v>
      </c>
      <c r="AJ25" s="44" t="s">
        <v>245</v>
      </c>
    </row>
    <row r="26" spans="1:36" ht="18" customHeight="1" x14ac:dyDescent="0.2">
      <c r="A26" s="41" t="s">
        <v>246</v>
      </c>
      <c r="B26" s="42" t="s">
        <v>243</v>
      </c>
      <c r="C26" s="43" t="s">
        <v>51</v>
      </c>
      <c r="D26" s="44" t="s">
        <v>247</v>
      </c>
      <c r="E26" s="42" t="s">
        <v>62</v>
      </c>
      <c r="F26" s="42" t="s">
        <v>248</v>
      </c>
      <c r="G26" s="45">
        <v>6.2</v>
      </c>
      <c r="H26" s="45">
        <v>4.4000000000000004</v>
      </c>
      <c r="I26" s="45">
        <v>3.2</v>
      </c>
      <c r="J26" s="46">
        <f t="shared" si="0"/>
        <v>27.28</v>
      </c>
      <c r="K26" s="46">
        <f t="shared" si="1"/>
        <v>21.2</v>
      </c>
      <c r="L26" s="46">
        <f t="shared" si="2"/>
        <v>87.3</v>
      </c>
      <c r="M26" s="47">
        <v>1</v>
      </c>
      <c r="N26" s="47">
        <v>3</v>
      </c>
      <c r="O26" s="46">
        <f t="shared" si="3"/>
        <v>60.44</v>
      </c>
      <c r="P26" s="42" t="s">
        <v>186</v>
      </c>
      <c r="Q26" s="42" t="s">
        <v>187</v>
      </c>
      <c r="R26" s="42" t="s">
        <v>177</v>
      </c>
      <c r="S26" s="42" t="s">
        <v>188</v>
      </c>
      <c r="T26" s="42" t="s">
        <v>156</v>
      </c>
      <c r="U26" s="47">
        <v>8</v>
      </c>
      <c r="V26" s="47">
        <v>4</v>
      </c>
      <c r="W26" s="43" t="s">
        <v>189</v>
      </c>
      <c r="X26" s="47">
        <v>8</v>
      </c>
      <c r="Y26" s="42" t="s">
        <v>158</v>
      </c>
      <c r="Z26" s="48">
        <f>IF($J26="","",ROUND($J26*IFERROR(VLOOKUP($P26,Stammdaten!$B$26:$C$34,2,FALSE()),0),0))</f>
        <v>1200</v>
      </c>
      <c r="AA26" s="48">
        <f>IF($O26="","",ROUND($O26*IFERROR(VLOOKUP($Q26,Stammdaten!$E$26:$F$32,2,FALSE()),0),0))</f>
        <v>8582</v>
      </c>
      <c r="AB26" s="48">
        <f>IF($J26="","",ROUND($J26*IFERROR(VLOOKUP($R26,Stammdaten!$H$26:$I$31,2,FALSE()),0),0))</f>
        <v>2564</v>
      </c>
      <c r="AC26" s="49">
        <f t="shared" si="4"/>
        <v>12346</v>
      </c>
      <c r="AD26" s="50">
        <f t="shared" si="5"/>
        <v>452.57</v>
      </c>
      <c r="AE26" s="43" t="s">
        <v>78</v>
      </c>
      <c r="AF26" s="51">
        <v>46185</v>
      </c>
      <c r="AG26" s="42" t="s">
        <v>182</v>
      </c>
      <c r="AH26" s="52" t="str">
        <f t="shared" ca="1" si="6"/>
        <v>Abgeschlossen</v>
      </c>
      <c r="AI26" s="53">
        <f t="shared" si="7"/>
        <v>1</v>
      </c>
      <c r="AJ26" s="44"/>
    </row>
    <row r="27" spans="1:36" ht="18" customHeight="1" x14ac:dyDescent="0.2">
      <c r="A27" s="41" t="s">
        <v>249</v>
      </c>
      <c r="B27" s="42" t="s">
        <v>243</v>
      </c>
      <c r="C27" s="43" t="s">
        <v>51</v>
      </c>
      <c r="D27" s="44" t="s">
        <v>250</v>
      </c>
      <c r="E27" s="42" t="s">
        <v>67</v>
      </c>
      <c r="F27" s="42" t="s">
        <v>171</v>
      </c>
      <c r="G27" s="45">
        <v>2.6</v>
      </c>
      <c r="H27" s="45">
        <v>2.4</v>
      </c>
      <c r="I27" s="45">
        <v>3.2</v>
      </c>
      <c r="J27" s="46">
        <f t="shared" si="0"/>
        <v>6.24</v>
      </c>
      <c r="K27" s="46">
        <f t="shared" si="1"/>
        <v>10</v>
      </c>
      <c r="L27" s="46">
        <f t="shared" si="2"/>
        <v>19.97</v>
      </c>
      <c r="M27" s="47">
        <v>1</v>
      </c>
      <c r="N27" s="47">
        <v>1</v>
      </c>
      <c r="O27" s="46">
        <f t="shared" si="3"/>
        <v>28.2</v>
      </c>
      <c r="P27" s="42" t="s">
        <v>175</v>
      </c>
      <c r="Q27" s="42" t="s">
        <v>193</v>
      </c>
      <c r="R27" s="42" t="s">
        <v>194</v>
      </c>
      <c r="S27" s="42" t="s">
        <v>155</v>
      </c>
      <c r="T27" s="42" t="s">
        <v>156</v>
      </c>
      <c r="U27" s="47">
        <v>2</v>
      </c>
      <c r="V27" s="47">
        <v>0</v>
      </c>
      <c r="W27" s="43" t="s">
        <v>172</v>
      </c>
      <c r="X27" s="47">
        <v>0</v>
      </c>
      <c r="Y27" s="42" t="s">
        <v>158</v>
      </c>
      <c r="Z27" s="48">
        <f>IF($J27="","",ROUND($J27*IFERROR(VLOOKUP($P27,Stammdaten!$B$26:$C$34,2,FALSE()),0),0))</f>
        <v>599</v>
      </c>
      <c r="AA27" s="48">
        <f>IF($O27="","",ROUND($O27*IFERROR(VLOOKUP($Q27,Stammdaten!$E$26:$F$32,2,FALSE()),0),0))</f>
        <v>2425</v>
      </c>
      <c r="AB27" s="48">
        <f>IF($J27="","",ROUND($J27*IFERROR(VLOOKUP($R27,Stammdaten!$H$26:$I$31,2,FALSE()),0),0))</f>
        <v>412</v>
      </c>
      <c r="AC27" s="49">
        <f t="shared" si="4"/>
        <v>3436</v>
      </c>
      <c r="AD27" s="50">
        <f t="shared" si="5"/>
        <v>550.64</v>
      </c>
      <c r="AE27" s="43" t="s">
        <v>76</v>
      </c>
      <c r="AF27" s="51">
        <v>46304</v>
      </c>
      <c r="AG27" s="42" t="s">
        <v>195</v>
      </c>
      <c r="AH27" s="52" t="str">
        <f t="shared" ca="1" si="6"/>
        <v>Im Plan</v>
      </c>
      <c r="AI27" s="53">
        <f t="shared" si="7"/>
        <v>1</v>
      </c>
      <c r="AJ27" s="44" t="s">
        <v>251</v>
      </c>
    </row>
    <row r="28" spans="1:36" ht="18" customHeight="1" x14ac:dyDescent="0.2">
      <c r="A28" s="41" t="s">
        <v>252</v>
      </c>
      <c r="B28" s="42" t="s">
        <v>243</v>
      </c>
      <c r="C28" s="43" t="s">
        <v>52</v>
      </c>
      <c r="D28" s="44" t="s">
        <v>253</v>
      </c>
      <c r="E28" s="42" t="s">
        <v>60</v>
      </c>
      <c r="F28" s="42" t="s">
        <v>218</v>
      </c>
      <c r="G28" s="45">
        <v>6.8</v>
      </c>
      <c r="H28" s="45">
        <v>4.5999999999999996</v>
      </c>
      <c r="I28" s="45">
        <v>2.8</v>
      </c>
      <c r="J28" s="46">
        <f t="shared" si="0"/>
        <v>31.28</v>
      </c>
      <c r="K28" s="46">
        <f t="shared" si="1"/>
        <v>22.8</v>
      </c>
      <c r="L28" s="46">
        <f t="shared" si="2"/>
        <v>87.58</v>
      </c>
      <c r="M28" s="47">
        <v>1</v>
      </c>
      <c r="N28" s="47">
        <v>3</v>
      </c>
      <c r="O28" s="46">
        <f t="shared" si="3"/>
        <v>56.44</v>
      </c>
      <c r="P28" s="42" t="s">
        <v>254</v>
      </c>
      <c r="Q28" s="42" t="s">
        <v>176</v>
      </c>
      <c r="R28" s="42" t="s">
        <v>211</v>
      </c>
      <c r="S28" s="42" t="s">
        <v>188</v>
      </c>
      <c r="T28" s="42" t="s">
        <v>204</v>
      </c>
      <c r="U28" s="47">
        <v>12</v>
      </c>
      <c r="V28" s="47">
        <v>12</v>
      </c>
      <c r="W28" s="43" t="s">
        <v>189</v>
      </c>
      <c r="X28" s="47">
        <v>4</v>
      </c>
      <c r="Y28" s="42" t="s">
        <v>255</v>
      </c>
      <c r="Z28" s="48">
        <f>IF($J28="","",ROUND($J28*IFERROR(VLOOKUP($P28,Stammdaten!$B$26:$C$34,2,FALSE()),0),0))</f>
        <v>1783</v>
      </c>
      <c r="AA28" s="48">
        <f>IF($O28="","",ROUND($O28*IFERROR(VLOOKUP($Q28,Stammdaten!$E$26:$F$32,2,FALSE()),0),0))</f>
        <v>1524</v>
      </c>
      <c r="AB28" s="48">
        <f>IF($J28="","",ROUND($J28*IFERROR(VLOOKUP($R28,Stammdaten!$H$26:$I$31,2,FALSE()),0),0))</f>
        <v>1533</v>
      </c>
      <c r="AC28" s="49">
        <f t="shared" si="4"/>
        <v>4840</v>
      </c>
      <c r="AD28" s="50">
        <f t="shared" si="5"/>
        <v>154.72999999999999</v>
      </c>
      <c r="AE28" s="43" t="s">
        <v>76</v>
      </c>
      <c r="AF28" s="51">
        <v>46332</v>
      </c>
      <c r="AG28" s="42" t="s">
        <v>15</v>
      </c>
      <c r="AH28" s="52" t="str">
        <f t="shared" ca="1" si="6"/>
        <v>Im Plan</v>
      </c>
      <c r="AI28" s="53">
        <f t="shared" si="7"/>
        <v>1</v>
      </c>
      <c r="AJ28" s="44"/>
    </row>
    <row r="29" spans="1:36" ht="18" customHeight="1" x14ac:dyDescent="0.2">
      <c r="A29" s="41" t="s">
        <v>256</v>
      </c>
      <c r="B29" s="42" t="s">
        <v>243</v>
      </c>
      <c r="C29" s="43" t="s">
        <v>52</v>
      </c>
      <c r="D29" s="44" t="s">
        <v>257</v>
      </c>
      <c r="E29" s="42" t="s">
        <v>59</v>
      </c>
      <c r="F29" s="42" t="s">
        <v>218</v>
      </c>
      <c r="G29" s="45">
        <v>4.4000000000000004</v>
      </c>
      <c r="H29" s="45">
        <v>3.6</v>
      </c>
      <c r="I29" s="45">
        <v>2.8</v>
      </c>
      <c r="J29" s="46">
        <f t="shared" si="0"/>
        <v>15.84</v>
      </c>
      <c r="K29" s="46">
        <f t="shared" si="1"/>
        <v>16</v>
      </c>
      <c r="L29" s="46">
        <f t="shared" si="2"/>
        <v>44.35</v>
      </c>
      <c r="M29" s="47">
        <v>1</v>
      </c>
      <c r="N29" s="47">
        <v>2</v>
      </c>
      <c r="O29" s="46">
        <f t="shared" si="3"/>
        <v>39.200000000000003</v>
      </c>
      <c r="P29" s="42" t="s">
        <v>254</v>
      </c>
      <c r="Q29" s="42" t="s">
        <v>176</v>
      </c>
      <c r="R29" s="42" t="s">
        <v>211</v>
      </c>
      <c r="S29" s="42" t="s">
        <v>188</v>
      </c>
      <c r="T29" s="42" t="s">
        <v>204</v>
      </c>
      <c r="U29" s="47">
        <v>8</v>
      </c>
      <c r="V29" s="47">
        <v>4</v>
      </c>
      <c r="W29" s="43" t="s">
        <v>189</v>
      </c>
      <c r="X29" s="47">
        <v>1</v>
      </c>
      <c r="Y29" s="42" t="s">
        <v>255</v>
      </c>
      <c r="Z29" s="48">
        <f>IF($J29="","",ROUND($J29*IFERROR(VLOOKUP($P29,Stammdaten!$B$26:$C$34,2,FALSE()),0),0))</f>
        <v>903</v>
      </c>
      <c r="AA29" s="48">
        <f>IF($O29="","",ROUND($O29*IFERROR(VLOOKUP($Q29,Stammdaten!$E$26:$F$32,2,FALSE()),0),0))</f>
        <v>1058</v>
      </c>
      <c r="AB29" s="48">
        <f>IF($J29="","",ROUND($J29*IFERROR(VLOOKUP($R29,Stammdaten!$H$26:$I$31,2,FALSE()),0),0))</f>
        <v>776</v>
      </c>
      <c r="AC29" s="49">
        <f t="shared" si="4"/>
        <v>2737</v>
      </c>
      <c r="AD29" s="50">
        <f t="shared" si="5"/>
        <v>172.79</v>
      </c>
      <c r="AE29" s="43" t="s">
        <v>75</v>
      </c>
      <c r="AF29" s="51">
        <v>46346</v>
      </c>
      <c r="AG29" s="42" t="s">
        <v>15</v>
      </c>
      <c r="AH29" s="52" t="str">
        <f t="shared" ca="1" si="6"/>
        <v>Im Plan</v>
      </c>
      <c r="AI29" s="53">
        <f t="shared" si="7"/>
        <v>1</v>
      </c>
      <c r="AJ29" s="44"/>
    </row>
    <row r="30" spans="1:36" ht="18" customHeight="1" x14ac:dyDescent="0.2">
      <c r="A30" s="41" t="s">
        <v>258</v>
      </c>
      <c r="B30" s="42" t="s">
        <v>243</v>
      </c>
      <c r="C30" s="43" t="s">
        <v>52</v>
      </c>
      <c r="D30" s="44" t="s">
        <v>259</v>
      </c>
      <c r="E30" s="42" t="s">
        <v>69</v>
      </c>
      <c r="F30" s="42" t="s">
        <v>218</v>
      </c>
      <c r="G30" s="45">
        <v>5.2</v>
      </c>
      <c r="H30" s="45">
        <v>3.4</v>
      </c>
      <c r="I30" s="45">
        <v>2.8</v>
      </c>
      <c r="J30" s="46">
        <f t="shared" si="0"/>
        <v>17.68</v>
      </c>
      <c r="K30" s="46">
        <f t="shared" si="1"/>
        <v>17.2</v>
      </c>
      <c r="L30" s="46">
        <f t="shared" si="2"/>
        <v>49.5</v>
      </c>
      <c r="M30" s="47">
        <v>1</v>
      </c>
      <c r="N30" s="47">
        <v>1</v>
      </c>
      <c r="O30" s="46">
        <f t="shared" si="3"/>
        <v>44.36</v>
      </c>
      <c r="P30" s="42" t="s">
        <v>152</v>
      </c>
      <c r="Q30" s="42" t="s">
        <v>153</v>
      </c>
      <c r="R30" s="42" t="s">
        <v>154</v>
      </c>
      <c r="S30" s="42" t="s">
        <v>164</v>
      </c>
      <c r="T30" s="42" t="s">
        <v>165</v>
      </c>
      <c r="U30" s="47">
        <v>4</v>
      </c>
      <c r="V30" s="47">
        <v>1</v>
      </c>
      <c r="W30" s="43" t="s">
        <v>172</v>
      </c>
      <c r="X30" s="47">
        <v>0</v>
      </c>
      <c r="Y30" s="42" t="s">
        <v>166</v>
      </c>
      <c r="Z30" s="48">
        <f>IF($J30="","",ROUND($J30*IFERROR(VLOOKUP($P30,Stammdaten!$B$26:$C$34,2,FALSE()),0),0))</f>
        <v>513</v>
      </c>
      <c r="AA30" s="48">
        <f>IF($O30="","",ROUND($O30*IFERROR(VLOOKUP($Q30,Stammdaten!$E$26:$F$32,2,FALSE()),0),0))</f>
        <v>798</v>
      </c>
      <c r="AB30" s="48">
        <f>IF($J30="","",ROUND($J30*IFERROR(VLOOKUP($R30,Stammdaten!$H$26:$I$31,2,FALSE()),0),0))</f>
        <v>0</v>
      </c>
      <c r="AC30" s="49">
        <f t="shared" si="4"/>
        <v>1311</v>
      </c>
      <c r="AD30" s="50">
        <f t="shared" si="5"/>
        <v>74.150000000000006</v>
      </c>
      <c r="AE30" s="43" t="s">
        <v>79</v>
      </c>
      <c r="AF30" s="51"/>
      <c r="AG30" s="42" t="s">
        <v>167</v>
      </c>
      <c r="AH30" s="52" t="str">
        <f t="shared" ca="1" si="6"/>
        <v>Kein Termin</v>
      </c>
      <c r="AI30" s="53">
        <f t="shared" si="7"/>
        <v>1</v>
      </c>
      <c r="AJ30" s="44" t="s">
        <v>260</v>
      </c>
    </row>
    <row r="31" spans="1:36" ht="18" customHeight="1" x14ac:dyDescent="0.2">
      <c r="A31" s="41" t="s">
        <v>261</v>
      </c>
      <c r="B31" s="42" t="s">
        <v>243</v>
      </c>
      <c r="C31" s="43" t="s">
        <v>55</v>
      </c>
      <c r="D31" s="44" t="s">
        <v>262</v>
      </c>
      <c r="E31" s="42" t="s">
        <v>71</v>
      </c>
      <c r="F31" s="42" t="s">
        <v>151</v>
      </c>
      <c r="G31" s="45">
        <v>7.4</v>
      </c>
      <c r="H31" s="45">
        <v>5.6</v>
      </c>
      <c r="I31" s="45">
        <v>2.6</v>
      </c>
      <c r="J31" s="46">
        <f t="shared" si="0"/>
        <v>41.44</v>
      </c>
      <c r="K31" s="46">
        <f t="shared" si="1"/>
        <v>26</v>
      </c>
      <c r="L31" s="46">
        <f t="shared" si="2"/>
        <v>107.74</v>
      </c>
      <c r="M31" s="47">
        <v>1</v>
      </c>
      <c r="N31" s="47">
        <v>0</v>
      </c>
      <c r="O31" s="46">
        <f t="shared" si="3"/>
        <v>65.599999999999994</v>
      </c>
      <c r="P31" s="42" t="s">
        <v>263</v>
      </c>
      <c r="Q31" s="42" t="s">
        <v>154</v>
      </c>
      <c r="R31" s="42" t="s">
        <v>154</v>
      </c>
      <c r="S31" s="42" t="s">
        <v>155</v>
      </c>
      <c r="T31" s="42" t="s">
        <v>156</v>
      </c>
      <c r="U31" s="47">
        <v>6</v>
      </c>
      <c r="V31" s="47">
        <v>2</v>
      </c>
      <c r="W31" s="43" t="s">
        <v>157</v>
      </c>
      <c r="X31" s="47">
        <v>0</v>
      </c>
      <c r="Y31" s="42" t="s">
        <v>264</v>
      </c>
      <c r="Z31" s="48">
        <f>IF($J31="","",ROUND($J31*IFERROR(VLOOKUP($P31,Stammdaten!$B$26:$C$34,2,FALSE()),0),0))</f>
        <v>0</v>
      </c>
      <c r="AA31" s="48">
        <f>IF($O31="","",ROUND($O31*IFERROR(VLOOKUP($Q31,Stammdaten!$E$26:$F$32,2,FALSE()),0),0))</f>
        <v>0</v>
      </c>
      <c r="AB31" s="48">
        <f>IF($J31="","",ROUND($J31*IFERROR(VLOOKUP($R31,Stammdaten!$H$26:$I$31,2,FALSE()),0),0))</f>
        <v>0</v>
      </c>
      <c r="AC31" s="49">
        <f t="shared" si="4"/>
        <v>0</v>
      </c>
      <c r="AD31" s="50">
        <f t="shared" si="5"/>
        <v>0</v>
      </c>
      <c r="AE31" s="43" t="s">
        <v>79</v>
      </c>
      <c r="AF31" s="51"/>
      <c r="AG31" s="42" t="s">
        <v>159</v>
      </c>
      <c r="AH31" s="52" t="str">
        <f t="shared" ca="1" si="6"/>
        <v>Kein Termin</v>
      </c>
      <c r="AI31" s="53">
        <f t="shared" si="7"/>
        <v>1</v>
      </c>
      <c r="AJ31" s="44" t="s">
        <v>265</v>
      </c>
    </row>
    <row r="32" spans="1:36" ht="18" customHeight="1" x14ac:dyDescent="0.2">
      <c r="A32" s="41"/>
      <c r="B32" s="42"/>
      <c r="C32" s="43"/>
      <c r="D32" s="44"/>
      <c r="E32" s="42"/>
      <c r="F32" s="42"/>
      <c r="G32" s="45"/>
      <c r="H32" s="45"/>
      <c r="I32" s="45"/>
      <c r="J32" s="46" t="str">
        <f t="shared" si="0"/>
        <v/>
      </c>
      <c r="K32" s="46" t="str">
        <f t="shared" si="1"/>
        <v/>
      </c>
      <c r="L32" s="46" t="str">
        <f t="shared" si="2"/>
        <v/>
      </c>
      <c r="M32" s="47"/>
      <c r="N32" s="47"/>
      <c r="O32" s="46" t="str">
        <f t="shared" si="3"/>
        <v/>
      </c>
      <c r="P32" s="42"/>
      <c r="Q32" s="42"/>
      <c r="R32" s="42"/>
      <c r="S32" s="42"/>
      <c r="T32" s="42"/>
      <c r="U32" s="47"/>
      <c r="V32" s="47"/>
      <c r="W32" s="43"/>
      <c r="X32" s="47"/>
      <c r="Y32" s="42"/>
      <c r="Z32" s="48" t="str">
        <f>IF($J32="","",ROUND($J32*IFERROR(VLOOKUP($P32,Stammdaten!$B$26:$C$34,2,FALSE()),0),0))</f>
        <v/>
      </c>
      <c r="AA32" s="48" t="str">
        <f>IF($O32="","",ROUND($O32*IFERROR(VLOOKUP($Q32,Stammdaten!$E$26:$F$32,2,FALSE()),0),0))</f>
        <v/>
      </c>
      <c r="AB32" s="48" t="str">
        <f>IF($J32="","",ROUND($J32*IFERROR(VLOOKUP($R32,Stammdaten!$H$26:$I$31,2,FALSE()),0),0))</f>
        <v/>
      </c>
      <c r="AC32" s="49" t="str">
        <f t="shared" si="4"/>
        <v/>
      </c>
      <c r="AD32" s="50" t="str">
        <f t="shared" si="5"/>
        <v/>
      </c>
      <c r="AE32" s="43"/>
      <c r="AF32" s="51"/>
      <c r="AG32" s="42"/>
      <c r="AH32" s="52" t="str">
        <f t="shared" ca="1" si="6"/>
        <v/>
      </c>
      <c r="AI32" s="53" t="str">
        <f t="shared" si="7"/>
        <v/>
      </c>
      <c r="AJ32" s="44"/>
    </row>
    <row r="33" spans="1:36" ht="18" customHeight="1" x14ac:dyDescent="0.2">
      <c r="A33" s="41"/>
      <c r="B33" s="42"/>
      <c r="C33" s="43"/>
      <c r="D33" s="44"/>
      <c r="E33" s="42"/>
      <c r="F33" s="42"/>
      <c r="G33" s="45"/>
      <c r="H33" s="45"/>
      <c r="I33" s="45"/>
      <c r="J33" s="46" t="str">
        <f t="shared" si="0"/>
        <v/>
      </c>
      <c r="K33" s="46" t="str">
        <f t="shared" si="1"/>
        <v/>
      </c>
      <c r="L33" s="46" t="str">
        <f t="shared" si="2"/>
        <v/>
      </c>
      <c r="M33" s="47"/>
      <c r="N33" s="47"/>
      <c r="O33" s="46" t="str">
        <f t="shared" si="3"/>
        <v/>
      </c>
      <c r="P33" s="42"/>
      <c r="Q33" s="42"/>
      <c r="R33" s="42"/>
      <c r="S33" s="42"/>
      <c r="T33" s="42"/>
      <c r="U33" s="47"/>
      <c r="V33" s="47"/>
      <c r="W33" s="43"/>
      <c r="X33" s="47"/>
      <c r="Y33" s="42"/>
      <c r="Z33" s="48" t="str">
        <f>IF($J33="","",ROUND($J33*IFERROR(VLOOKUP($P33,Stammdaten!$B$26:$C$34,2,FALSE()),0),0))</f>
        <v/>
      </c>
      <c r="AA33" s="48" t="str">
        <f>IF($O33="","",ROUND($O33*IFERROR(VLOOKUP($Q33,Stammdaten!$E$26:$F$32,2,FALSE()),0),0))</f>
        <v/>
      </c>
      <c r="AB33" s="48" t="str">
        <f>IF($J33="","",ROUND($J33*IFERROR(VLOOKUP($R33,Stammdaten!$H$26:$I$31,2,FALSE()),0),0))</f>
        <v/>
      </c>
      <c r="AC33" s="49" t="str">
        <f t="shared" si="4"/>
        <v/>
      </c>
      <c r="AD33" s="50" t="str">
        <f t="shared" si="5"/>
        <v/>
      </c>
      <c r="AE33" s="43"/>
      <c r="AF33" s="51"/>
      <c r="AG33" s="42"/>
      <c r="AH33" s="52" t="str">
        <f t="shared" ca="1" si="6"/>
        <v/>
      </c>
      <c r="AI33" s="53" t="str">
        <f t="shared" si="7"/>
        <v/>
      </c>
      <c r="AJ33" s="44"/>
    </row>
    <row r="34" spans="1:36" ht="18" customHeight="1" x14ac:dyDescent="0.2">
      <c r="A34" s="41"/>
      <c r="B34" s="42"/>
      <c r="C34" s="43"/>
      <c r="D34" s="44"/>
      <c r="E34" s="42"/>
      <c r="F34" s="42"/>
      <c r="G34" s="45"/>
      <c r="H34" s="45"/>
      <c r="I34" s="45"/>
      <c r="J34" s="46" t="str">
        <f t="shared" si="0"/>
        <v/>
      </c>
      <c r="K34" s="46" t="str">
        <f t="shared" si="1"/>
        <v/>
      </c>
      <c r="L34" s="46" t="str">
        <f t="shared" si="2"/>
        <v/>
      </c>
      <c r="M34" s="47"/>
      <c r="N34" s="47"/>
      <c r="O34" s="46" t="str">
        <f t="shared" si="3"/>
        <v/>
      </c>
      <c r="P34" s="42"/>
      <c r="Q34" s="42"/>
      <c r="R34" s="42"/>
      <c r="S34" s="42"/>
      <c r="T34" s="42"/>
      <c r="U34" s="47"/>
      <c r="V34" s="47"/>
      <c r="W34" s="43"/>
      <c r="X34" s="47"/>
      <c r="Y34" s="42"/>
      <c r="Z34" s="48" t="str">
        <f>IF($J34="","",ROUND($J34*IFERROR(VLOOKUP($P34,Stammdaten!$B$26:$C$34,2,FALSE()),0),0))</f>
        <v/>
      </c>
      <c r="AA34" s="48" t="str">
        <f>IF($O34="","",ROUND($O34*IFERROR(VLOOKUP($Q34,Stammdaten!$E$26:$F$32,2,FALSE()),0),0))</f>
        <v/>
      </c>
      <c r="AB34" s="48" t="str">
        <f>IF($J34="","",ROUND($J34*IFERROR(VLOOKUP($R34,Stammdaten!$H$26:$I$31,2,FALSE()),0),0))</f>
        <v/>
      </c>
      <c r="AC34" s="49" t="str">
        <f t="shared" si="4"/>
        <v/>
      </c>
      <c r="AD34" s="50" t="str">
        <f t="shared" si="5"/>
        <v/>
      </c>
      <c r="AE34" s="43"/>
      <c r="AF34" s="51"/>
      <c r="AG34" s="42"/>
      <c r="AH34" s="52" t="str">
        <f t="shared" ca="1" si="6"/>
        <v/>
      </c>
      <c r="AI34" s="53" t="str">
        <f t="shared" si="7"/>
        <v/>
      </c>
      <c r="AJ34" s="44"/>
    </row>
    <row r="35" spans="1:36" ht="18" customHeight="1" x14ac:dyDescent="0.2">
      <c r="A35" s="41"/>
      <c r="B35" s="42"/>
      <c r="C35" s="43"/>
      <c r="D35" s="44"/>
      <c r="E35" s="42"/>
      <c r="F35" s="42"/>
      <c r="G35" s="45"/>
      <c r="H35" s="45"/>
      <c r="I35" s="45"/>
      <c r="J35" s="46" t="str">
        <f t="shared" si="0"/>
        <v/>
      </c>
      <c r="K35" s="46" t="str">
        <f t="shared" si="1"/>
        <v/>
      </c>
      <c r="L35" s="46" t="str">
        <f t="shared" si="2"/>
        <v/>
      </c>
      <c r="M35" s="47"/>
      <c r="N35" s="47"/>
      <c r="O35" s="46" t="str">
        <f t="shared" si="3"/>
        <v/>
      </c>
      <c r="P35" s="42"/>
      <c r="Q35" s="42"/>
      <c r="R35" s="42"/>
      <c r="S35" s="42"/>
      <c r="T35" s="42"/>
      <c r="U35" s="47"/>
      <c r="V35" s="47"/>
      <c r="W35" s="43"/>
      <c r="X35" s="47"/>
      <c r="Y35" s="42"/>
      <c r="Z35" s="48" t="str">
        <f>IF($J35="","",ROUND($J35*IFERROR(VLOOKUP($P35,Stammdaten!$B$26:$C$34,2,FALSE()),0),0))</f>
        <v/>
      </c>
      <c r="AA35" s="48" t="str">
        <f>IF($O35="","",ROUND($O35*IFERROR(VLOOKUP($Q35,Stammdaten!$E$26:$F$32,2,FALSE()),0),0))</f>
        <v/>
      </c>
      <c r="AB35" s="48" t="str">
        <f>IF($J35="","",ROUND($J35*IFERROR(VLOOKUP($R35,Stammdaten!$H$26:$I$31,2,FALSE()),0),0))</f>
        <v/>
      </c>
      <c r="AC35" s="49" t="str">
        <f t="shared" si="4"/>
        <v/>
      </c>
      <c r="AD35" s="50" t="str">
        <f t="shared" si="5"/>
        <v/>
      </c>
      <c r="AE35" s="43"/>
      <c r="AF35" s="51"/>
      <c r="AG35" s="42"/>
      <c r="AH35" s="52" t="str">
        <f t="shared" ca="1" si="6"/>
        <v/>
      </c>
      <c r="AI35" s="53" t="str">
        <f t="shared" si="7"/>
        <v/>
      </c>
      <c r="AJ35" s="44"/>
    </row>
    <row r="36" spans="1:36" ht="18" customHeight="1" x14ac:dyDescent="0.2">
      <c r="A36" s="41"/>
      <c r="B36" s="42"/>
      <c r="C36" s="43"/>
      <c r="D36" s="44"/>
      <c r="E36" s="42"/>
      <c r="F36" s="42"/>
      <c r="G36" s="45"/>
      <c r="H36" s="45"/>
      <c r="I36" s="45"/>
      <c r="J36" s="46" t="str">
        <f t="shared" si="0"/>
        <v/>
      </c>
      <c r="K36" s="46" t="str">
        <f t="shared" si="1"/>
        <v/>
      </c>
      <c r="L36" s="46" t="str">
        <f t="shared" si="2"/>
        <v/>
      </c>
      <c r="M36" s="47"/>
      <c r="N36" s="47"/>
      <c r="O36" s="46" t="str">
        <f t="shared" si="3"/>
        <v/>
      </c>
      <c r="P36" s="42"/>
      <c r="Q36" s="42"/>
      <c r="R36" s="42"/>
      <c r="S36" s="42"/>
      <c r="T36" s="42"/>
      <c r="U36" s="47"/>
      <c r="V36" s="47"/>
      <c r="W36" s="43"/>
      <c r="X36" s="47"/>
      <c r="Y36" s="42"/>
      <c r="Z36" s="48" t="str">
        <f>IF($J36="","",ROUND($J36*IFERROR(VLOOKUP($P36,Stammdaten!$B$26:$C$34,2,FALSE()),0),0))</f>
        <v/>
      </c>
      <c r="AA36" s="48" t="str">
        <f>IF($O36="","",ROUND($O36*IFERROR(VLOOKUP($Q36,Stammdaten!$E$26:$F$32,2,FALSE()),0),0))</f>
        <v/>
      </c>
      <c r="AB36" s="48" t="str">
        <f>IF($J36="","",ROUND($J36*IFERROR(VLOOKUP($R36,Stammdaten!$H$26:$I$31,2,FALSE()),0),0))</f>
        <v/>
      </c>
      <c r="AC36" s="49" t="str">
        <f t="shared" si="4"/>
        <v/>
      </c>
      <c r="AD36" s="50" t="str">
        <f t="shared" si="5"/>
        <v/>
      </c>
      <c r="AE36" s="43"/>
      <c r="AF36" s="51"/>
      <c r="AG36" s="42"/>
      <c r="AH36" s="52" t="str">
        <f t="shared" ca="1" si="6"/>
        <v/>
      </c>
      <c r="AI36" s="53" t="str">
        <f t="shared" si="7"/>
        <v/>
      </c>
      <c r="AJ36" s="44"/>
    </row>
    <row r="37" spans="1:36" ht="18" customHeight="1" x14ac:dyDescent="0.2">
      <c r="A37" s="41"/>
      <c r="B37" s="42"/>
      <c r="C37" s="43"/>
      <c r="D37" s="44"/>
      <c r="E37" s="42"/>
      <c r="F37" s="42"/>
      <c r="G37" s="45"/>
      <c r="H37" s="45"/>
      <c r="I37" s="45"/>
      <c r="J37" s="46" t="str">
        <f t="shared" si="0"/>
        <v/>
      </c>
      <c r="K37" s="46" t="str">
        <f t="shared" si="1"/>
        <v/>
      </c>
      <c r="L37" s="46" t="str">
        <f t="shared" si="2"/>
        <v/>
      </c>
      <c r="M37" s="47"/>
      <c r="N37" s="47"/>
      <c r="O37" s="46" t="str">
        <f t="shared" si="3"/>
        <v/>
      </c>
      <c r="P37" s="42"/>
      <c r="Q37" s="42"/>
      <c r="R37" s="42"/>
      <c r="S37" s="42"/>
      <c r="T37" s="42"/>
      <c r="U37" s="47"/>
      <c r="V37" s="47"/>
      <c r="W37" s="43"/>
      <c r="X37" s="47"/>
      <c r="Y37" s="42"/>
      <c r="Z37" s="48" t="str">
        <f>IF($J37="","",ROUND($J37*IFERROR(VLOOKUP($P37,Stammdaten!$B$26:$C$34,2,FALSE()),0),0))</f>
        <v/>
      </c>
      <c r="AA37" s="48" t="str">
        <f>IF($O37="","",ROUND($O37*IFERROR(VLOOKUP($Q37,Stammdaten!$E$26:$F$32,2,FALSE()),0),0))</f>
        <v/>
      </c>
      <c r="AB37" s="48" t="str">
        <f>IF($J37="","",ROUND($J37*IFERROR(VLOOKUP($R37,Stammdaten!$H$26:$I$31,2,FALSE()),0),0))</f>
        <v/>
      </c>
      <c r="AC37" s="49" t="str">
        <f t="shared" si="4"/>
        <v/>
      </c>
      <c r="AD37" s="50" t="str">
        <f t="shared" si="5"/>
        <v/>
      </c>
      <c r="AE37" s="43"/>
      <c r="AF37" s="51"/>
      <c r="AG37" s="42"/>
      <c r="AH37" s="52" t="str">
        <f t="shared" ca="1" si="6"/>
        <v/>
      </c>
      <c r="AI37" s="53" t="str">
        <f t="shared" si="7"/>
        <v/>
      </c>
      <c r="AJ37" s="44"/>
    </row>
    <row r="38" spans="1:36" ht="18" customHeight="1" x14ac:dyDescent="0.2">
      <c r="A38" s="41"/>
      <c r="B38" s="42"/>
      <c r="C38" s="43"/>
      <c r="D38" s="44"/>
      <c r="E38" s="42"/>
      <c r="F38" s="42"/>
      <c r="G38" s="45"/>
      <c r="H38" s="45"/>
      <c r="I38" s="45"/>
      <c r="J38" s="46" t="str">
        <f t="shared" ref="J38:J69" si="8">IF(OR($G38="",$H38=""),"",ROUND($G38*$H38,2))</f>
        <v/>
      </c>
      <c r="K38" s="46" t="str">
        <f t="shared" ref="K38:K69" si="9">IF(OR($G38="",$H38=""),"",ROUND(2*($G38+$H38),2))</f>
        <v/>
      </c>
      <c r="L38" s="46" t="str">
        <f t="shared" ref="L38:L69" si="10">IF(OR($J38="",$I38=""),"",ROUND($J38*$I38,2))</f>
        <v/>
      </c>
      <c r="M38" s="47"/>
      <c r="N38" s="47"/>
      <c r="O38" s="46" t="str">
        <f t="shared" ref="O38:O69" si="11">IF(OR($K38="",$I38=""),"",ROUND(MAX($K38*$I38-(N($M38)*2+N($N38)*1.8),0),2))</f>
        <v/>
      </c>
      <c r="P38" s="42"/>
      <c r="Q38" s="42"/>
      <c r="R38" s="42"/>
      <c r="S38" s="42"/>
      <c r="T38" s="42"/>
      <c r="U38" s="47"/>
      <c r="V38" s="47"/>
      <c r="W38" s="43"/>
      <c r="X38" s="47"/>
      <c r="Y38" s="42"/>
      <c r="Z38" s="48" t="str">
        <f>IF($J38="","",ROUND($J38*IFERROR(VLOOKUP($P38,Stammdaten!$B$26:$C$34,2,FALSE()),0),0))</f>
        <v/>
      </c>
      <c r="AA38" s="48" t="str">
        <f>IF($O38="","",ROUND($O38*IFERROR(VLOOKUP($Q38,Stammdaten!$E$26:$F$32,2,FALSE()),0),0))</f>
        <v/>
      </c>
      <c r="AB38" s="48" t="str">
        <f>IF($J38="","",ROUND($J38*IFERROR(VLOOKUP($R38,Stammdaten!$H$26:$I$31,2,FALSE()),0),0))</f>
        <v/>
      </c>
      <c r="AC38" s="49" t="str">
        <f t="shared" ref="AC38:AC69" si="12">IF($J38="","",SUM($Z38:$AB38))</f>
        <v/>
      </c>
      <c r="AD38" s="50" t="str">
        <f t="shared" ref="AD38:AD69" si="13">IF(OR($J38="",$J38=0),"",ROUND($AC38/$J38,2))</f>
        <v/>
      </c>
      <c r="AE38" s="43"/>
      <c r="AF38" s="51"/>
      <c r="AG38" s="42"/>
      <c r="AH38" s="52" t="str">
        <f t="shared" ref="AH38:AH69" ca="1" si="14">IF($D38="","",IF($AE38="Abgenommen","Abgeschlossen",IF($AF38="","Kein Termin",IF($AF38&lt;TODAY(),"Überfällig",IF($AF38-TODAY()&lt;=30,"Fällig ≤ 30 Tage","Im Plan")))))</f>
        <v/>
      </c>
      <c r="AI38" s="53" t="str">
        <f t="shared" ref="AI38:AI69" si="15">IF($D38="","",ROUND(COUNTA($A38,$B38,$C38,$E38,$G38,$H38,$I38,$P38,$Q38,$R38,$S38,$T38,$Y38,$AE38)/14,2))</f>
        <v/>
      </c>
      <c r="AJ38" s="44"/>
    </row>
    <row r="39" spans="1:36" ht="18" customHeight="1" x14ac:dyDescent="0.2">
      <c r="A39" s="41"/>
      <c r="B39" s="42"/>
      <c r="C39" s="43"/>
      <c r="D39" s="44"/>
      <c r="E39" s="42"/>
      <c r="F39" s="42"/>
      <c r="G39" s="45"/>
      <c r="H39" s="45"/>
      <c r="I39" s="45"/>
      <c r="J39" s="46" t="str">
        <f t="shared" si="8"/>
        <v/>
      </c>
      <c r="K39" s="46" t="str">
        <f t="shared" si="9"/>
        <v/>
      </c>
      <c r="L39" s="46" t="str">
        <f t="shared" si="10"/>
        <v/>
      </c>
      <c r="M39" s="47"/>
      <c r="N39" s="47"/>
      <c r="O39" s="46" t="str">
        <f t="shared" si="11"/>
        <v/>
      </c>
      <c r="P39" s="42"/>
      <c r="Q39" s="42"/>
      <c r="R39" s="42"/>
      <c r="S39" s="42"/>
      <c r="T39" s="42"/>
      <c r="U39" s="47"/>
      <c r="V39" s="47"/>
      <c r="W39" s="43"/>
      <c r="X39" s="47"/>
      <c r="Y39" s="42"/>
      <c r="Z39" s="48" t="str">
        <f>IF($J39="","",ROUND($J39*IFERROR(VLOOKUP($P39,Stammdaten!$B$26:$C$34,2,FALSE()),0),0))</f>
        <v/>
      </c>
      <c r="AA39" s="48" t="str">
        <f>IF($O39="","",ROUND($O39*IFERROR(VLOOKUP($Q39,Stammdaten!$E$26:$F$32,2,FALSE()),0),0))</f>
        <v/>
      </c>
      <c r="AB39" s="48" t="str">
        <f>IF($J39="","",ROUND($J39*IFERROR(VLOOKUP($R39,Stammdaten!$H$26:$I$31,2,FALSE()),0),0))</f>
        <v/>
      </c>
      <c r="AC39" s="49" t="str">
        <f t="shared" si="12"/>
        <v/>
      </c>
      <c r="AD39" s="50" t="str">
        <f t="shared" si="13"/>
        <v/>
      </c>
      <c r="AE39" s="43"/>
      <c r="AF39" s="51"/>
      <c r="AG39" s="42"/>
      <c r="AH39" s="52" t="str">
        <f t="shared" ca="1" si="14"/>
        <v/>
      </c>
      <c r="AI39" s="53" t="str">
        <f t="shared" si="15"/>
        <v/>
      </c>
      <c r="AJ39" s="44"/>
    </row>
    <row r="40" spans="1:36" ht="18" customHeight="1" x14ac:dyDescent="0.2">
      <c r="A40" s="41"/>
      <c r="B40" s="42"/>
      <c r="C40" s="43"/>
      <c r="D40" s="44"/>
      <c r="E40" s="42"/>
      <c r="F40" s="42"/>
      <c r="G40" s="45"/>
      <c r="H40" s="45"/>
      <c r="I40" s="45"/>
      <c r="J40" s="46" t="str">
        <f t="shared" si="8"/>
        <v/>
      </c>
      <c r="K40" s="46" t="str">
        <f t="shared" si="9"/>
        <v/>
      </c>
      <c r="L40" s="46" t="str">
        <f t="shared" si="10"/>
        <v/>
      </c>
      <c r="M40" s="47"/>
      <c r="N40" s="47"/>
      <c r="O40" s="46" t="str">
        <f t="shared" si="11"/>
        <v/>
      </c>
      <c r="P40" s="42"/>
      <c r="Q40" s="42"/>
      <c r="R40" s="42"/>
      <c r="S40" s="42"/>
      <c r="T40" s="42"/>
      <c r="U40" s="47"/>
      <c r="V40" s="47"/>
      <c r="W40" s="43"/>
      <c r="X40" s="47"/>
      <c r="Y40" s="42"/>
      <c r="Z40" s="48" t="str">
        <f>IF($J40="","",ROUND($J40*IFERROR(VLOOKUP($P40,Stammdaten!$B$26:$C$34,2,FALSE()),0),0))</f>
        <v/>
      </c>
      <c r="AA40" s="48" t="str">
        <f>IF($O40="","",ROUND($O40*IFERROR(VLOOKUP($Q40,Stammdaten!$E$26:$F$32,2,FALSE()),0),0))</f>
        <v/>
      </c>
      <c r="AB40" s="48" t="str">
        <f>IF($J40="","",ROUND($J40*IFERROR(VLOOKUP($R40,Stammdaten!$H$26:$I$31,2,FALSE()),0),0))</f>
        <v/>
      </c>
      <c r="AC40" s="49" t="str">
        <f t="shared" si="12"/>
        <v/>
      </c>
      <c r="AD40" s="50" t="str">
        <f t="shared" si="13"/>
        <v/>
      </c>
      <c r="AE40" s="43"/>
      <c r="AF40" s="51"/>
      <c r="AG40" s="42"/>
      <c r="AH40" s="52" t="str">
        <f t="shared" ca="1" si="14"/>
        <v/>
      </c>
      <c r="AI40" s="53" t="str">
        <f t="shared" si="15"/>
        <v/>
      </c>
      <c r="AJ40" s="44"/>
    </row>
    <row r="41" spans="1:36" ht="18" customHeight="1" x14ac:dyDescent="0.2">
      <c r="A41" s="41"/>
      <c r="B41" s="42"/>
      <c r="C41" s="43"/>
      <c r="D41" s="44"/>
      <c r="E41" s="42"/>
      <c r="F41" s="42"/>
      <c r="G41" s="45"/>
      <c r="H41" s="45"/>
      <c r="I41" s="45"/>
      <c r="J41" s="46" t="str">
        <f t="shared" si="8"/>
        <v/>
      </c>
      <c r="K41" s="46" t="str">
        <f t="shared" si="9"/>
        <v/>
      </c>
      <c r="L41" s="46" t="str">
        <f t="shared" si="10"/>
        <v/>
      </c>
      <c r="M41" s="47"/>
      <c r="N41" s="47"/>
      <c r="O41" s="46" t="str">
        <f t="shared" si="11"/>
        <v/>
      </c>
      <c r="P41" s="42"/>
      <c r="Q41" s="42"/>
      <c r="R41" s="42"/>
      <c r="S41" s="42"/>
      <c r="T41" s="42"/>
      <c r="U41" s="47"/>
      <c r="V41" s="47"/>
      <c r="W41" s="43"/>
      <c r="X41" s="47"/>
      <c r="Y41" s="42"/>
      <c r="Z41" s="48" t="str">
        <f>IF($J41="","",ROUND($J41*IFERROR(VLOOKUP($P41,Stammdaten!$B$26:$C$34,2,FALSE()),0),0))</f>
        <v/>
      </c>
      <c r="AA41" s="48" t="str">
        <f>IF($O41="","",ROUND($O41*IFERROR(VLOOKUP($Q41,Stammdaten!$E$26:$F$32,2,FALSE()),0),0))</f>
        <v/>
      </c>
      <c r="AB41" s="48" t="str">
        <f>IF($J41="","",ROUND($J41*IFERROR(VLOOKUP($R41,Stammdaten!$H$26:$I$31,2,FALSE()),0),0))</f>
        <v/>
      </c>
      <c r="AC41" s="49" t="str">
        <f t="shared" si="12"/>
        <v/>
      </c>
      <c r="AD41" s="50" t="str">
        <f t="shared" si="13"/>
        <v/>
      </c>
      <c r="AE41" s="43"/>
      <c r="AF41" s="51"/>
      <c r="AG41" s="42"/>
      <c r="AH41" s="52" t="str">
        <f t="shared" ca="1" si="14"/>
        <v/>
      </c>
      <c r="AI41" s="53" t="str">
        <f t="shared" si="15"/>
        <v/>
      </c>
      <c r="AJ41" s="44"/>
    </row>
    <row r="42" spans="1:36" ht="18" customHeight="1" x14ac:dyDescent="0.2">
      <c r="A42" s="41"/>
      <c r="B42" s="42"/>
      <c r="C42" s="43"/>
      <c r="D42" s="44"/>
      <c r="E42" s="42"/>
      <c r="F42" s="42"/>
      <c r="G42" s="45"/>
      <c r="H42" s="45"/>
      <c r="I42" s="45"/>
      <c r="J42" s="46" t="str">
        <f t="shared" si="8"/>
        <v/>
      </c>
      <c r="K42" s="46" t="str">
        <f t="shared" si="9"/>
        <v/>
      </c>
      <c r="L42" s="46" t="str">
        <f t="shared" si="10"/>
        <v/>
      </c>
      <c r="M42" s="47"/>
      <c r="N42" s="47"/>
      <c r="O42" s="46" t="str">
        <f t="shared" si="11"/>
        <v/>
      </c>
      <c r="P42" s="42"/>
      <c r="Q42" s="42"/>
      <c r="R42" s="42"/>
      <c r="S42" s="42"/>
      <c r="T42" s="42"/>
      <c r="U42" s="47"/>
      <c r="V42" s="47"/>
      <c r="W42" s="43"/>
      <c r="X42" s="47"/>
      <c r="Y42" s="42"/>
      <c r="Z42" s="48" t="str">
        <f>IF($J42="","",ROUND($J42*IFERROR(VLOOKUP($P42,Stammdaten!$B$26:$C$34,2,FALSE()),0),0))</f>
        <v/>
      </c>
      <c r="AA42" s="48" t="str">
        <f>IF($O42="","",ROUND($O42*IFERROR(VLOOKUP($Q42,Stammdaten!$E$26:$F$32,2,FALSE()),0),0))</f>
        <v/>
      </c>
      <c r="AB42" s="48" t="str">
        <f>IF($J42="","",ROUND($J42*IFERROR(VLOOKUP($R42,Stammdaten!$H$26:$I$31,2,FALSE()),0),0))</f>
        <v/>
      </c>
      <c r="AC42" s="49" t="str">
        <f t="shared" si="12"/>
        <v/>
      </c>
      <c r="AD42" s="50" t="str">
        <f t="shared" si="13"/>
        <v/>
      </c>
      <c r="AE42" s="43"/>
      <c r="AF42" s="51"/>
      <c r="AG42" s="42"/>
      <c r="AH42" s="52" t="str">
        <f t="shared" ca="1" si="14"/>
        <v/>
      </c>
      <c r="AI42" s="53" t="str">
        <f t="shared" si="15"/>
        <v/>
      </c>
      <c r="AJ42" s="44"/>
    </row>
    <row r="43" spans="1:36" ht="18" customHeight="1" x14ac:dyDescent="0.2">
      <c r="A43" s="41"/>
      <c r="B43" s="42"/>
      <c r="C43" s="43"/>
      <c r="D43" s="44"/>
      <c r="E43" s="42"/>
      <c r="F43" s="42"/>
      <c r="G43" s="45"/>
      <c r="H43" s="45"/>
      <c r="I43" s="45"/>
      <c r="J43" s="46" t="str">
        <f t="shared" si="8"/>
        <v/>
      </c>
      <c r="K43" s="46" t="str">
        <f t="shared" si="9"/>
        <v/>
      </c>
      <c r="L43" s="46" t="str">
        <f t="shared" si="10"/>
        <v/>
      </c>
      <c r="M43" s="47"/>
      <c r="N43" s="47"/>
      <c r="O43" s="46" t="str">
        <f t="shared" si="11"/>
        <v/>
      </c>
      <c r="P43" s="42"/>
      <c r="Q43" s="42"/>
      <c r="R43" s="42"/>
      <c r="S43" s="42"/>
      <c r="T43" s="42"/>
      <c r="U43" s="47"/>
      <c r="V43" s="47"/>
      <c r="W43" s="43"/>
      <c r="X43" s="47"/>
      <c r="Y43" s="42"/>
      <c r="Z43" s="48" t="str">
        <f>IF($J43="","",ROUND($J43*IFERROR(VLOOKUP($P43,Stammdaten!$B$26:$C$34,2,FALSE()),0),0))</f>
        <v/>
      </c>
      <c r="AA43" s="48" t="str">
        <f>IF($O43="","",ROUND($O43*IFERROR(VLOOKUP($Q43,Stammdaten!$E$26:$F$32,2,FALSE()),0),0))</f>
        <v/>
      </c>
      <c r="AB43" s="48" t="str">
        <f>IF($J43="","",ROUND($J43*IFERROR(VLOOKUP($R43,Stammdaten!$H$26:$I$31,2,FALSE()),0),0))</f>
        <v/>
      </c>
      <c r="AC43" s="49" t="str">
        <f t="shared" si="12"/>
        <v/>
      </c>
      <c r="AD43" s="50" t="str">
        <f t="shared" si="13"/>
        <v/>
      </c>
      <c r="AE43" s="43"/>
      <c r="AF43" s="51"/>
      <c r="AG43" s="42"/>
      <c r="AH43" s="52" t="str">
        <f t="shared" ca="1" si="14"/>
        <v/>
      </c>
      <c r="AI43" s="53" t="str">
        <f t="shared" si="15"/>
        <v/>
      </c>
      <c r="AJ43" s="44"/>
    </row>
    <row r="44" spans="1:36" ht="18" customHeight="1" x14ac:dyDescent="0.2">
      <c r="A44" s="41"/>
      <c r="B44" s="42"/>
      <c r="C44" s="43"/>
      <c r="D44" s="44"/>
      <c r="E44" s="42"/>
      <c r="F44" s="42"/>
      <c r="G44" s="45"/>
      <c r="H44" s="45"/>
      <c r="I44" s="45"/>
      <c r="J44" s="46" t="str">
        <f t="shared" si="8"/>
        <v/>
      </c>
      <c r="K44" s="46" t="str">
        <f t="shared" si="9"/>
        <v/>
      </c>
      <c r="L44" s="46" t="str">
        <f t="shared" si="10"/>
        <v/>
      </c>
      <c r="M44" s="47"/>
      <c r="N44" s="47"/>
      <c r="O44" s="46" t="str">
        <f t="shared" si="11"/>
        <v/>
      </c>
      <c r="P44" s="42"/>
      <c r="Q44" s="42"/>
      <c r="R44" s="42"/>
      <c r="S44" s="42"/>
      <c r="T44" s="42"/>
      <c r="U44" s="47"/>
      <c r="V44" s="47"/>
      <c r="W44" s="43"/>
      <c r="X44" s="47"/>
      <c r="Y44" s="42"/>
      <c r="Z44" s="48" t="str">
        <f>IF($J44="","",ROUND($J44*IFERROR(VLOOKUP($P44,Stammdaten!$B$26:$C$34,2,FALSE()),0),0))</f>
        <v/>
      </c>
      <c r="AA44" s="48" t="str">
        <f>IF($O44="","",ROUND($O44*IFERROR(VLOOKUP($Q44,Stammdaten!$E$26:$F$32,2,FALSE()),0),0))</f>
        <v/>
      </c>
      <c r="AB44" s="48" t="str">
        <f>IF($J44="","",ROUND($J44*IFERROR(VLOOKUP($R44,Stammdaten!$H$26:$I$31,2,FALSE()),0),0))</f>
        <v/>
      </c>
      <c r="AC44" s="49" t="str">
        <f t="shared" si="12"/>
        <v/>
      </c>
      <c r="AD44" s="50" t="str">
        <f t="shared" si="13"/>
        <v/>
      </c>
      <c r="AE44" s="43"/>
      <c r="AF44" s="51"/>
      <c r="AG44" s="42"/>
      <c r="AH44" s="52" t="str">
        <f t="shared" ca="1" si="14"/>
        <v/>
      </c>
      <c r="AI44" s="53" t="str">
        <f t="shared" si="15"/>
        <v/>
      </c>
      <c r="AJ44" s="44"/>
    </row>
    <row r="45" spans="1:36" ht="18" customHeight="1" x14ac:dyDescent="0.2">
      <c r="A45" s="41"/>
      <c r="B45" s="42"/>
      <c r="C45" s="43"/>
      <c r="D45" s="44"/>
      <c r="E45" s="42"/>
      <c r="F45" s="42"/>
      <c r="G45" s="45"/>
      <c r="H45" s="45"/>
      <c r="I45" s="45"/>
      <c r="J45" s="46" t="str">
        <f t="shared" si="8"/>
        <v/>
      </c>
      <c r="K45" s="46" t="str">
        <f t="shared" si="9"/>
        <v/>
      </c>
      <c r="L45" s="46" t="str">
        <f t="shared" si="10"/>
        <v/>
      </c>
      <c r="M45" s="47"/>
      <c r="N45" s="47"/>
      <c r="O45" s="46" t="str">
        <f t="shared" si="11"/>
        <v/>
      </c>
      <c r="P45" s="42"/>
      <c r="Q45" s="42"/>
      <c r="R45" s="42"/>
      <c r="S45" s="42"/>
      <c r="T45" s="42"/>
      <c r="U45" s="47"/>
      <c r="V45" s="47"/>
      <c r="W45" s="43"/>
      <c r="X45" s="47"/>
      <c r="Y45" s="42"/>
      <c r="Z45" s="48" t="str">
        <f>IF($J45="","",ROUND($J45*IFERROR(VLOOKUP($P45,Stammdaten!$B$26:$C$34,2,FALSE()),0),0))</f>
        <v/>
      </c>
      <c r="AA45" s="48" t="str">
        <f>IF($O45="","",ROUND($O45*IFERROR(VLOOKUP($Q45,Stammdaten!$E$26:$F$32,2,FALSE()),0),0))</f>
        <v/>
      </c>
      <c r="AB45" s="48" t="str">
        <f>IF($J45="","",ROUND($J45*IFERROR(VLOOKUP($R45,Stammdaten!$H$26:$I$31,2,FALSE()),0),0))</f>
        <v/>
      </c>
      <c r="AC45" s="49" t="str">
        <f t="shared" si="12"/>
        <v/>
      </c>
      <c r="AD45" s="50" t="str">
        <f t="shared" si="13"/>
        <v/>
      </c>
      <c r="AE45" s="43"/>
      <c r="AF45" s="51"/>
      <c r="AG45" s="42"/>
      <c r="AH45" s="52" t="str">
        <f t="shared" ca="1" si="14"/>
        <v/>
      </c>
      <c r="AI45" s="53" t="str">
        <f t="shared" si="15"/>
        <v/>
      </c>
      <c r="AJ45" s="44"/>
    </row>
    <row r="46" spans="1:36" ht="18" customHeight="1" x14ac:dyDescent="0.2">
      <c r="A46" s="41"/>
      <c r="B46" s="42"/>
      <c r="C46" s="43"/>
      <c r="D46" s="44"/>
      <c r="E46" s="42"/>
      <c r="F46" s="42"/>
      <c r="G46" s="45"/>
      <c r="H46" s="45"/>
      <c r="I46" s="45"/>
      <c r="J46" s="46" t="str">
        <f t="shared" si="8"/>
        <v/>
      </c>
      <c r="K46" s="46" t="str">
        <f t="shared" si="9"/>
        <v/>
      </c>
      <c r="L46" s="46" t="str">
        <f t="shared" si="10"/>
        <v/>
      </c>
      <c r="M46" s="47"/>
      <c r="N46" s="47"/>
      <c r="O46" s="46" t="str">
        <f t="shared" si="11"/>
        <v/>
      </c>
      <c r="P46" s="42"/>
      <c r="Q46" s="42"/>
      <c r="R46" s="42"/>
      <c r="S46" s="42"/>
      <c r="T46" s="42"/>
      <c r="U46" s="47"/>
      <c r="V46" s="47"/>
      <c r="W46" s="43"/>
      <c r="X46" s="47"/>
      <c r="Y46" s="42"/>
      <c r="Z46" s="48" t="str">
        <f>IF($J46="","",ROUND($J46*IFERROR(VLOOKUP($P46,Stammdaten!$B$26:$C$34,2,FALSE()),0),0))</f>
        <v/>
      </c>
      <c r="AA46" s="48" t="str">
        <f>IF($O46="","",ROUND($O46*IFERROR(VLOOKUP($Q46,Stammdaten!$E$26:$F$32,2,FALSE()),0),0))</f>
        <v/>
      </c>
      <c r="AB46" s="48" t="str">
        <f>IF($J46="","",ROUND($J46*IFERROR(VLOOKUP($R46,Stammdaten!$H$26:$I$31,2,FALSE()),0),0))</f>
        <v/>
      </c>
      <c r="AC46" s="49" t="str">
        <f t="shared" si="12"/>
        <v/>
      </c>
      <c r="AD46" s="50" t="str">
        <f t="shared" si="13"/>
        <v/>
      </c>
      <c r="AE46" s="43"/>
      <c r="AF46" s="51"/>
      <c r="AG46" s="42"/>
      <c r="AH46" s="52" t="str">
        <f t="shared" ca="1" si="14"/>
        <v/>
      </c>
      <c r="AI46" s="53" t="str">
        <f t="shared" si="15"/>
        <v/>
      </c>
      <c r="AJ46" s="44"/>
    </row>
    <row r="47" spans="1:36" ht="18" customHeight="1" x14ac:dyDescent="0.2">
      <c r="A47" s="41"/>
      <c r="B47" s="42"/>
      <c r="C47" s="43"/>
      <c r="D47" s="44"/>
      <c r="E47" s="42"/>
      <c r="F47" s="42"/>
      <c r="G47" s="45"/>
      <c r="H47" s="45"/>
      <c r="I47" s="45"/>
      <c r="J47" s="46" t="str">
        <f t="shared" si="8"/>
        <v/>
      </c>
      <c r="K47" s="46" t="str">
        <f t="shared" si="9"/>
        <v/>
      </c>
      <c r="L47" s="46" t="str">
        <f t="shared" si="10"/>
        <v/>
      </c>
      <c r="M47" s="47"/>
      <c r="N47" s="47"/>
      <c r="O47" s="46" t="str">
        <f t="shared" si="11"/>
        <v/>
      </c>
      <c r="P47" s="42"/>
      <c r="Q47" s="42"/>
      <c r="R47" s="42"/>
      <c r="S47" s="42"/>
      <c r="T47" s="42"/>
      <c r="U47" s="47"/>
      <c r="V47" s="47"/>
      <c r="W47" s="43"/>
      <c r="X47" s="47"/>
      <c r="Y47" s="42"/>
      <c r="Z47" s="48" t="str">
        <f>IF($J47="","",ROUND($J47*IFERROR(VLOOKUP($P47,Stammdaten!$B$26:$C$34,2,FALSE()),0),0))</f>
        <v/>
      </c>
      <c r="AA47" s="48" t="str">
        <f>IF($O47="","",ROUND($O47*IFERROR(VLOOKUP($Q47,Stammdaten!$E$26:$F$32,2,FALSE()),0),0))</f>
        <v/>
      </c>
      <c r="AB47" s="48" t="str">
        <f>IF($J47="","",ROUND($J47*IFERROR(VLOOKUP($R47,Stammdaten!$H$26:$I$31,2,FALSE()),0),0))</f>
        <v/>
      </c>
      <c r="AC47" s="49" t="str">
        <f t="shared" si="12"/>
        <v/>
      </c>
      <c r="AD47" s="50" t="str">
        <f t="shared" si="13"/>
        <v/>
      </c>
      <c r="AE47" s="43"/>
      <c r="AF47" s="51"/>
      <c r="AG47" s="42"/>
      <c r="AH47" s="52" t="str">
        <f t="shared" ca="1" si="14"/>
        <v/>
      </c>
      <c r="AI47" s="53" t="str">
        <f t="shared" si="15"/>
        <v/>
      </c>
      <c r="AJ47" s="44"/>
    </row>
    <row r="48" spans="1:36" ht="18" customHeight="1" x14ac:dyDescent="0.2">
      <c r="A48" s="41"/>
      <c r="B48" s="42"/>
      <c r="C48" s="43"/>
      <c r="D48" s="44"/>
      <c r="E48" s="42"/>
      <c r="F48" s="42"/>
      <c r="G48" s="45"/>
      <c r="H48" s="45"/>
      <c r="I48" s="45"/>
      <c r="J48" s="46" t="str">
        <f t="shared" si="8"/>
        <v/>
      </c>
      <c r="K48" s="46" t="str">
        <f t="shared" si="9"/>
        <v/>
      </c>
      <c r="L48" s="46" t="str">
        <f t="shared" si="10"/>
        <v/>
      </c>
      <c r="M48" s="47"/>
      <c r="N48" s="47"/>
      <c r="O48" s="46" t="str">
        <f t="shared" si="11"/>
        <v/>
      </c>
      <c r="P48" s="42"/>
      <c r="Q48" s="42"/>
      <c r="R48" s="42"/>
      <c r="S48" s="42"/>
      <c r="T48" s="42"/>
      <c r="U48" s="47"/>
      <c r="V48" s="47"/>
      <c r="W48" s="43"/>
      <c r="X48" s="47"/>
      <c r="Y48" s="42"/>
      <c r="Z48" s="48" t="str">
        <f>IF($J48="","",ROUND($J48*IFERROR(VLOOKUP($P48,Stammdaten!$B$26:$C$34,2,FALSE()),0),0))</f>
        <v/>
      </c>
      <c r="AA48" s="48" t="str">
        <f>IF($O48="","",ROUND($O48*IFERROR(VLOOKUP($Q48,Stammdaten!$E$26:$F$32,2,FALSE()),0),0))</f>
        <v/>
      </c>
      <c r="AB48" s="48" t="str">
        <f>IF($J48="","",ROUND($J48*IFERROR(VLOOKUP($R48,Stammdaten!$H$26:$I$31,2,FALSE()),0),0))</f>
        <v/>
      </c>
      <c r="AC48" s="49" t="str">
        <f t="shared" si="12"/>
        <v/>
      </c>
      <c r="AD48" s="50" t="str">
        <f t="shared" si="13"/>
        <v/>
      </c>
      <c r="AE48" s="43"/>
      <c r="AF48" s="51"/>
      <c r="AG48" s="42"/>
      <c r="AH48" s="52" t="str">
        <f t="shared" ca="1" si="14"/>
        <v/>
      </c>
      <c r="AI48" s="53" t="str">
        <f t="shared" si="15"/>
        <v/>
      </c>
      <c r="AJ48" s="44"/>
    </row>
    <row r="49" spans="1:36" ht="18" customHeight="1" x14ac:dyDescent="0.2">
      <c r="A49" s="41"/>
      <c r="B49" s="42"/>
      <c r="C49" s="43"/>
      <c r="D49" s="44"/>
      <c r="E49" s="42"/>
      <c r="F49" s="42"/>
      <c r="G49" s="45"/>
      <c r="H49" s="45"/>
      <c r="I49" s="45"/>
      <c r="J49" s="46" t="str">
        <f t="shared" si="8"/>
        <v/>
      </c>
      <c r="K49" s="46" t="str">
        <f t="shared" si="9"/>
        <v/>
      </c>
      <c r="L49" s="46" t="str">
        <f t="shared" si="10"/>
        <v/>
      </c>
      <c r="M49" s="47"/>
      <c r="N49" s="47"/>
      <c r="O49" s="46" t="str">
        <f t="shared" si="11"/>
        <v/>
      </c>
      <c r="P49" s="42"/>
      <c r="Q49" s="42"/>
      <c r="R49" s="42"/>
      <c r="S49" s="42"/>
      <c r="T49" s="42"/>
      <c r="U49" s="47"/>
      <c r="V49" s="47"/>
      <c r="W49" s="43"/>
      <c r="X49" s="47"/>
      <c r="Y49" s="42"/>
      <c r="Z49" s="48" t="str">
        <f>IF($J49="","",ROUND($J49*IFERROR(VLOOKUP($P49,Stammdaten!$B$26:$C$34,2,FALSE()),0),0))</f>
        <v/>
      </c>
      <c r="AA49" s="48" t="str">
        <f>IF($O49="","",ROUND($O49*IFERROR(VLOOKUP($Q49,Stammdaten!$E$26:$F$32,2,FALSE()),0),0))</f>
        <v/>
      </c>
      <c r="AB49" s="48" t="str">
        <f>IF($J49="","",ROUND($J49*IFERROR(VLOOKUP($R49,Stammdaten!$H$26:$I$31,2,FALSE()),0),0))</f>
        <v/>
      </c>
      <c r="AC49" s="49" t="str">
        <f t="shared" si="12"/>
        <v/>
      </c>
      <c r="AD49" s="50" t="str">
        <f t="shared" si="13"/>
        <v/>
      </c>
      <c r="AE49" s="43"/>
      <c r="AF49" s="51"/>
      <c r="AG49" s="42"/>
      <c r="AH49" s="52" t="str">
        <f t="shared" ca="1" si="14"/>
        <v/>
      </c>
      <c r="AI49" s="53" t="str">
        <f t="shared" si="15"/>
        <v/>
      </c>
      <c r="AJ49" s="44"/>
    </row>
    <row r="50" spans="1:36" ht="18" customHeight="1" x14ac:dyDescent="0.2">
      <c r="A50" s="41"/>
      <c r="B50" s="42"/>
      <c r="C50" s="43"/>
      <c r="D50" s="44"/>
      <c r="E50" s="42"/>
      <c r="F50" s="42"/>
      <c r="G50" s="45"/>
      <c r="H50" s="45"/>
      <c r="I50" s="45"/>
      <c r="J50" s="46" t="str">
        <f t="shared" si="8"/>
        <v/>
      </c>
      <c r="K50" s="46" t="str">
        <f t="shared" si="9"/>
        <v/>
      </c>
      <c r="L50" s="46" t="str">
        <f t="shared" si="10"/>
        <v/>
      </c>
      <c r="M50" s="47"/>
      <c r="N50" s="47"/>
      <c r="O50" s="46" t="str">
        <f t="shared" si="11"/>
        <v/>
      </c>
      <c r="P50" s="42"/>
      <c r="Q50" s="42"/>
      <c r="R50" s="42"/>
      <c r="S50" s="42"/>
      <c r="T50" s="42"/>
      <c r="U50" s="47"/>
      <c r="V50" s="47"/>
      <c r="W50" s="43"/>
      <c r="X50" s="47"/>
      <c r="Y50" s="42"/>
      <c r="Z50" s="48" t="str">
        <f>IF($J50="","",ROUND($J50*IFERROR(VLOOKUP($P50,Stammdaten!$B$26:$C$34,2,FALSE()),0),0))</f>
        <v/>
      </c>
      <c r="AA50" s="48" t="str">
        <f>IF($O50="","",ROUND($O50*IFERROR(VLOOKUP($Q50,Stammdaten!$E$26:$F$32,2,FALSE()),0),0))</f>
        <v/>
      </c>
      <c r="AB50" s="48" t="str">
        <f>IF($J50="","",ROUND($J50*IFERROR(VLOOKUP($R50,Stammdaten!$H$26:$I$31,2,FALSE()),0),0))</f>
        <v/>
      </c>
      <c r="AC50" s="49" t="str">
        <f t="shared" si="12"/>
        <v/>
      </c>
      <c r="AD50" s="50" t="str">
        <f t="shared" si="13"/>
        <v/>
      </c>
      <c r="AE50" s="43"/>
      <c r="AF50" s="51"/>
      <c r="AG50" s="42"/>
      <c r="AH50" s="52" t="str">
        <f t="shared" ca="1" si="14"/>
        <v/>
      </c>
      <c r="AI50" s="53" t="str">
        <f t="shared" si="15"/>
        <v/>
      </c>
      <c r="AJ50" s="44"/>
    </row>
    <row r="51" spans="1:36" ht="18" customHeight="1" x14ac:dyDescent="0.2">
      <c r="A51" s="41"/>
      <c r="B51" s="42"/>
      <c r="C51" s="43"/>
      <c r="D51" s="44"/>
      <c r="E51" s="42"/>
      <c r="F51" s="42"/>
      <c r="G51" s="45"/>
      <c r="H51" s="45"/>
      <c r="I51" s="45"/>
      <c r="J51" s="46" t="str">
        <f t="shared" si="8"/>
        <v/>
      </c>
      <c r="K51" s="46" t="str">
        <f t="shared" si="9"/>
        <v/>
      </c>
      <c r="L51" s="46" t="str">
        <f t="shared" si="10"/>
        <v/>
      </c>
      <c r="M51" s="47"/>
      <c r="N51" s="47"/>
      <c r="O51" s="46" t="str">
        <f t="shared" si="11"/>
        <v/>
      </c>
      <c r="P51" s="42"/>
      <c r="Q51" s="42"/>
      <c r="R51" s="42"/>
      <c r="S51" s="42"/>
      <c r="T51" s="42"/>
      <c r="U51" s="47"/>
      <c r="V51" s="47"/>
      <c r="W51" s="43"/>
      <c r="X51" s="47"/>
      <c r="Y51" s="42"/>
      <c r="Z51" s="48" t="str">
        <f>IF($J51="","",ROUND($J51*IFERROR(VLOOKUP($P51,Stammdaten!$B$26:$C$34,2,FALSE()),0),0))</f>
        <v/>
      </c>
      <c r="AA51" s="48" t="str">
        <f>IF($O51="","",ROUND($O51*IFERROR(VLOOKUP($Q51,Stammdaten!$E$26:$F$32,2,FALSE()),0),0))</f>
        <v/>
      </c>
      <c r="AB51" s="48" t="str">
        <f>IF($J51="","",ROUND($J51*IFERROR(VLOOKUP($R51,Stammdaten!$H$26:$I$31,2,FALSE()),0),0))</f>
        <v/>
      </c>
      <c r="AC51" s="49" t="str">
        <f t="shared" si="12"/>
        <v/>
      </c>
      <c r="AD51" s="50" t="str">
        <f t="shared" si="13"/>
        <v/>
      </c>
      <c r="AE51" s="43"/>
      <c r="AF51" s="51"/>
      <c r="AG51" s="42"/>
      <c r="AH51" s="52" t="str">
        <f t="shared" ca="1" si="14"/>
        <v/>
      </c>
      <c r="AI51" s="53" t="str">
        <f t="shared" si="15"/>
        <v/>
      </c>
      <c r="AJ51" s="44"/>
    </row>
    <row r="52" spans="1:36" ht="18" customHeight="1" x14ac:dyDescent="0.2">
      <c r="A52" s="41"/>
      <c r="B52" s="42"/>
      <c r="C52" s="43"/>
      <c r="D52" s="44"/>
      <c r="E52" s="42"/>
      <c r="F52" s="42"/>
      <c r="G52" s="45"/>
      <c r="H52" s="45"/>
      <c r="I52" s="45"/>
      <c r="J52" s="46" t="str">
        <f t="shared" si="8"/>
        <v/>
      </c>
      <c r="K52" s="46" t="str">
        <f t="shared" si="9"/>
        <v/>
      </c>
      <c r="L52" s="46" t="str">
        <f t="shared" si="10"/>
        <v/>
      </c>
      <c r="M52" s="47"/>
      <c r="N52" s="47"/>
      <c r="O52" s="46" t="str">
        <f t="shared" si="11"/>
        <v/>
      </c>
      <c r="P52" s="42"/>
      <c r="Q52" s="42"/>
      <c r="R52" s="42"/>
      <c r="S52" s="42"/>
      <c r="T52" s="42"/>
      <c r="U52" s="47"/>
      <c r="V52" s="47"/>
      <c r="W52" s="43"/>
      <c r="X52" s="47"/>
      <c r="Y52" s="42"/>
      <c r="Z52" s="48" t="str">
        <f>IF($J52="","",ROUND($J52*IFERROR(VLOOKUP($P52,Stammdaten!$B$26:$C$34,2,FALSE()),0),0))</f>
        <v/>
      </c>
      <c r="AA52" s="48" t="str">
        <f>IF($O52="","",ROUND($O52*IFERROR(VLOOKUP($Q52,Stammdaten!$E$26:$F$32,2,FALSE()),0),0))</f>
        <v/>
      </c>
      <c r="AB52" s="48" t="str">
        <f>IF($J52="","",ROUND($J52*IFERROR(VLOOKUP($R52,Stammdaten!$H$26:$I$31,2,FALSE()),0),0))</f>
        <v/>
      </c>
      <c r="AC52" s="49" t="str">
        <f t="shared" si="12"/>
        <v/>
      </c>
      <c r="AD52" s="50" t="str">
        <f t="shared" si="13"/>
        <v/>
      </c>
      <c r="AE52" s="43"/>
      <c r="AF52" s="51"/>
      <c r="AG52" s="42"/>
      <c r="AH52" s="52" t="str">
        <f t="shared" ca="1" si="14"/>
        <v/>
      </c>
      <c r="AI52" s="53" t="str">
        <f t="shared" si="15"/>
        <v/>
      </c>
      <c r="AJ52" s="44"/>
    </row>
    <row r="53" spans="1:36" ht="18" customHeight="1" x14ac:dyDescent="0.2">
      <c r="A53" s="41"/>
      <c r="B53" s="42"/>
      <c r="C53" s="43"/>
      <c r="D53" s="44"/>
      <c r="E53" s="42"/>
      <c r="F53" s="42"/>
      <c r="G53" s="45"/>
      <c r="H53" s="45"/>
      <c r="I53" s="45"/>
      <c r="J53" s="46" t="str">
        <f t="shared" si="8"/>
        <v/>
      </c>
      <c r="K53" s="46" t="str">
        <f t="shared" si="9"/>
        <v/>
      </c>
      <c r="L53" s="46" t="str">
        <f t="shared" si="10"/>
        <v/>
      </c>
      <c r="M53" s="47"/>
      <c r="N53" s="47"/>
      <c r="O53" s="46" t="str">
        <f t="shared" si="11"/>
        <v/>
      </c>
      <c r="P53" s="42"/>
      <c r="Q53" s="42"/>
      <c r="R53" s="42"/>
      <c r="S53" s="42"/>
      <c r="T53" s="42"/>
      <c r="U53" s="47"/>
      <c r="V53" s="47"/>
      <c r="W53" s="43"/>
      <c r="X53" s="47"/>
      <c r="Y53" s="42"/>
      <c r="Z53" s="48" t="str">
        <f>IF($J53="","",ROUND($J53*IFERROR(VLOOKUP($P53,Stammdaten!$B$26:$C$34,2,FALSE()),0),0))</f>
        <v/>
      </c>
      <c r="AA53" s="48" t="str">
        <f>IF($O53="","",ROUND($O53*IFERROR(VLOOKUP($Q53,Stammdaten!$E$26:$F$32,2,FALSE()),0),0))</f>
        <v/>
      </c>
      <c r="AB53" s="48" t="str">
        <f>IF($J53="","",ROUND($J53*IFERROR(VLOOKUP($R53,Stammdaten!$H$26:$I$31,2,FALSE()),0),0))</f>
        <v/>
      </c>
      <c r="AC53" s="49" t="str">
        <f t="shared" si="12"/>
        <v/>
      </c>
      <c r="AD53" s="50" t="str">
        <f t="shared" si="13"/>
        <v/>
      </c>
      <c r="AE53" s="43"/>
      <c r="AF53" s="51"/>
      <c r="AG53" s="42"/>
      <c r="AH53" s="52" t="str">
        <f t="shared" ca="1" si="14"/>
        <v/>
      </c>
      <c r="AI53" s="53" t="str">
        <f t="shared" si="15"/>
        <v/>
      </c>
      <c r="AJ53" s="44"/>
    </row>
    <row r="54" spans="1:36" ht="18" customHeight="1" x14ac:dyDescent="0.2">
      <c r="A54" s="41"/>
      <c r="B54" s="42"/>
      <c r="C54" s="43"/>
      <c r="D54" s="44"/>
      <c r="E54" s="42"/>
      <c r="F54" s="42"/>
      <c r="G54" s="45"/>
      <c r="H54" s="45"/>
      <c r="I54" s="45"/>
      <c r="J54" s="46" t="str">
        <f t="shared" si="8"/>
        <v/>
      </c>
      <c r="K54" s="46" t="str">
        <f t="shared" si="9"/>
        <v/>
      </c>
      <c r="L54" s="46" t="str">
        <f t="shared" si="10"/>
        <v/>
      </c>
      <c r="M54" s="47"/>
      <c r="N54" s="47"/>
      <c r="O54" s="46" t="str">
        <f t="shared" si="11"/>
        <v/>
      </c>
      <c r="P54" s="42"/>
      <c r="Q54" s="42"/>
      <c r="R54" s="42"/>
      <c r="S54" s="42"/>
      <c r="T54" s="42"/>
      <c r="U54" s="47"/>
      <c r="V54" s="47"/>
      <c r="W54" s="43"/>
      <c r="X54" s="47"/>
      <c r="Y54" s="42"/>
      <c r="Z54" s="48" t="str">
        <f>IF($J54="","",ROUND($J54*IFERROR(VLOOKUP($P54,Stammdaten!$B$26:$C$34,2,FALSE()),0),0))</f>
        <v/>
      </c>
      <c r="AA54" s="48" t="str">
        <f>IF($O54="","",ROUND($O54*IFERROR(VLOOKUP($Q54,Stammdaten!$E$26:$F$32,2,FALSE()),0),0))</f>
        <v/>
      </c>
      <c r="AB54" s="48" t="str">
        <f>IF($J54="","",ROUND($J54*IFERROR(VLOOKUP($R54,Stammdaten!$H$26:$I$31,2,FALSE()),0),0))</f>
        <v/>
      </c>
      <c r="AC54" s="49" t="str">
        <f t="shared" si="12"/>
        <v/>
      </c>
      <c r="AD54" s="50" t="str">
        <f t="shared" si="13"/>
        <v/>
      </c>
      <c r="AE54" s="43"/>
      <c r="AF54" s="51"/>
      <c r="AG54" s="42"/>
      <c r="AH54" s="52" t="str">
        <f t="shared" ca="1" si="14"/>
        <v/>
      </c>
      <c r="AI54" s="53" t="str">
        <f t="shared" si="15"/>
        <v/>
      </c>
      <c r="AJ54" s="44"/>
    </row>
    <row r="55" spans="1:36" ht="18" customHeight="1" x14ac:dyDescent="0.2">
      <c r="A55" s="41"/>
      <c r="B55" s="42"/>
      <c r="C55" s="43"/>
      <c r="D55" s="44"/>
      <c r="E55" s="42"/>
      <c r="F55" s="42"/>
      <c r="G55" s="45"/>
      <c r="H55" s="45"/>
      <c r="I55" s="45"/>
      <c r="J55" s="46" t="str">
        <f t="shared" si="8"/>
        <v/>
      </c>
      <c r="K55" s="46" t="str">
        <f t="shared" si="9"/>
        <v/>
      </c>
      <c r="L55" s="46" t="str">
        <f t="shared" si="10"/>
        <v/>
      </c>
      <c r="M55" s="47"/>
      <c r="N55" s="47"/>
      <c r="O55" s="46" t="str">
        <f t="shared" si="11"/>
        <v/>
      </c>
      <c r="P55" s="42"/>
      <c r="Q55" s="42"/>
      <c r="R55" s="42"/>
      <c r="S55" s="42"/>
      <c r="T55" s="42"/>
      <c r="U55" s="47"/>
      <c r="V55" s="47"/>
      <c r="W55" s="43"/>
      <c r="X55" s="47"/>
      <c r="Y55" s="42"/>
      <c r="Z55" s="48" t="str">
        <f>IF($J55="","",ROUND($J55*IFERROR(VLOOKUP($P55,Stammdaten!$B$26:$C$34,2,FALSE()),0),0))</f>
        <v/>
      </c>
      <c r="AA55" s="48" t="str">
        <f>IF($O55="","",ROUND($O55*IFERROR(VLOOKUP($Q55,Stammdaten!$E$26:$F$32,2,FALSE()),0),0))</f>
        <v/>
      </c>
      <c r="AB55" s="48" t="str">
        <f>IF($J55="","",ROUND($J55*IFERROR(VLOOKUP($R55,Stammdaten!$H$26:$I$31,2,FALSE()),0),0))</f>
        <v/>
      </c>
      <c r="AC55" s="49" t="str">
        <f t="shared" si="12"/>
        <v/>
      </c>
      <c r="AD55" s="50" t="str">
        <f t="shared" si="13"/>
        <v/>
      </c>
      <c r="AE55" s="43"/>
      <c r="AF55" s="51"/>
      <c r="AG55" s="42"/>
      <c r="AH55" s="52" t="str">
        <f t="shared" ca="1" si="14"/>
        <v/>
      </c>
      <c r="AI55" s="53" t="str">
        <f t="shared" si="15"/>
        <v/>
      </c>
      <c r="AJ55" s="44"/>
    </row>
    <row r="56" spans="1:36" ht="18" customHeight="1" x14ac:dyDescent="0.2">
      <c r="A56" s="41"/>
      <c r="B56" s="42"/>
      <c r="C56" s="43"/>
      <c r="D56" s="44"/>
      <c r="E56" s="42"/>
      <c r="F56" s="42"/>
      <c r="G56" s="45"/>
      <c r="H56" s="45"/>
      <c r="I56" s="45"/>
      <c r="J56" s="46" t="str">
        <f t="shared" si="8"/>
        <v/>
      </c>
      <c r="K56" s="46" t="str">
        <f t="shared" si="9"/>
        <v/>
      </c>
      <c r="L56" s="46" t="str">
        <f t="shared" si="10"/>
        <v/>
      </c>
      <c r="M56" s="47"/>
      <c r="N56" s="47"/>
      <c r="O56" s="46" t="str">
        <f t="shared" si="11"/>
        <v/>
      </c>
      <c r="P56" s="42"/>
      <c r="Q56" s="42"/>
      <c r="R56" s="42"/>
      <c r="S56" s="42"/>
      <c r="T56" s="42"/>
      <c r="U56" s="47"/>
      <c r="V56" s="47"/>
      <c r="W56" s="43"/>
      <c r="X56" s="47"/>
      <c r="Y56" s="42"/>
      <c r="Z56" s="48" t="str">
        <f>IF($J56="","",ROUND($J56*IFERROR(VLOOKUP($P56,Stammdaten!$B$26:$C$34,2,FALSE()),0),0))</f>
        <v/>
      </c>
      <c r="AA56" s="48" t="str">
        <f>IF($O56="","",ROUND($O56*IFERROR(VLOOKUP($Q56,Stammdaten!$E$26:$F$32,2,FALSE()),0),0))</f>
        <v/>
      </c>
      <c r="AB56" s="48" t="str">
        <f>IF($J56="","",ROUND($J56*IFERROR(VLOOKUP($R56,Stammdaten!$H$26:$I$31,2,FALSE()),0),0))</f>
        <v/>
      </c>
      <c r="AC56" s="49" t="str">
        <f t="shared" si="12"/>
        <v/>
      </c>
      <c r="AD56" s="50" t="str">
        <f t="shared" si="13"/>
        <v/>
      </c>
      <c r="AE56" s="43"/>
      <c r="AF56" s="51"/>
      <c r="AG56" s="42"/>
      <c r="AH56" s="52" t="str">
        <f t="shared" ca="1" si="14"/>
        <v/>
      </c>
      <c r="AI56" s="53" t="str">
        <f t="shared" si="15"/>
        <v/>
      </c>
      <c r="AJ56" s="44"/>
    </row>
    <row r="57" spans="1:36" ht="18" customHeight="1" x14ac:dyDescent="0.2">
      <c r="A57" s="41"/>
      <c r="B57" s="42"/>
      <c r="C57" s="43"/>
      <c r="D57" s="44"/>
      <c r="E57" s="42"/>
      <c r="F57" s="42"/>
      <c r="G57" s="45"/>
      <c r="H57" s="45"/>
      <c r="I57" s="45"/>
      <c r="J57" s="46" t="str">
        <f t="shared" si="8"/>
        <v/>
      </c>
      <c r="K57" s="46" t="str">
        <f t="shared" si="9"/>
        <v/>
      </c>
      <c r="L57" s="46" t="str">
        <f t="shared" si="10"/>
        <v/>
      </c>
      <c r="M57" s="47"/>
      <c r="N57" s="47"/>
      <c r="O57" s="46" t="str">
        <f t="shared" si="11"/>
        <v/>
      </c>
      <c r="P57" s="42"/>
      <c r="Q57" s="42"/>
      <c r="R57" s="42"/>
      <c r="S57" s="42"/>
      <c r="T57" s="42"/>
      <c r="U57" s="47"/>
      <c r="V57" s="47"/>
      <c r="W57" s="43"/>
      <c r="X57" s="47"/>
      <c r="Y57" s="42"/>
      <c r="Z57" s="48" t="str">
        <f>IF($J57="","",ROUND($J57*IFERROR(VLOOKUP($P57,Stammdaten!$B$26:$C$34,2,FALSE()),0),0))</f>
        <v/>
      </c>
      <c r="AA57" s="48" t="str">
        <f>IF($O57="","",ROUND($O57*IFERROR(VLOOKUP($Q57,Stammdaten!$E$26:$F$32,2,FALSE()),0),0))</f>
        <v/>
      </c>
      <c r="AB57" s="48" t="str">
        <f>IF($J57="","",ROUND($J57*IFERROR(VLOOKUP($R57,Stammdaten!$H$26:$I$31,2,FALSE()),0),0))</f>
        <v/>
      </c>
      <c r="AC57" s="49" t="str">
        <f t="shared" si="12"/>
        <v/>
      </c>
      <c r="AD57" s="50" t="str">
        <f t="shared" si="13"/>
        <v/>
      </c>
      <c r="AE57" s="43"/>
      <c r="AF57" s="51"/>
      <c r="AG57" s="42"/>
      <c r="AH57" s="52" t="str">
        <f t="shared" ca="1" si="14"/>
        <v/>
      </c>
      <c r="AI57" s="53" t="str">
        <f t="shared" si="15"/>
        <v/>
      </c>
      <c r="AJ57" s="44"/>
    </row>
    <row r="58" spans="1:36" ht="18" customHeight="1" x14ac:dyDescent="0.2">
      <c r="A58" s="41"/>
      <c r="B58" s="42"/>
      <c r="C58" s="43"/>
      <c r="D58" s="44"/>
      <c r="E58" s="42"/>
      <c r="F58" s="42"/>
      <c r="G58" s="45"/>
      <c r="H58" s="45"/>
      <c r="I58" s="45"/>
      <c r="J58" s="46" t="str">
        <f t="shared" si="8"/>
        <v/>
      </c>
      <c r="K58" s="46" t="str">
        <f t="shared" si="9"/>
        <v/>
      </c>
      <c r="L58" s="46" t="str">
        <f t="shared" si="10"/>
        <v/>
      </c>
      <c r="M58" s="47"/>
      <c r="N58" s="47"/>
      <c r="O58" s="46" t="str">
        <f t="shared" si="11"/>
        <v/>
      </c>
      <c r="P58" s="42"/>
      <c r="Q58" s="42"/>
      <c r="R58" s="42"/>
      <c r="S58" s="42"/>
      <c r="T58" s="42"/>
      <c r="U58" s="47"/>
      <c r="V58" s="47"/>
      <c r="W58" s="43"/>
      <c r="X58" s="47"/>
      <c r="Y58" s="42"/>
      <c r="Z58" s="48" t="str">
        <f>IF($J58="","",ROUND($J58*IFERROR(VLOOKUP($P58,Stammdaten!$B$26:$C$34,2,FALSE()),0),0))</f>
        <v/>
      </c>
      <c r="AA58" s="48" t="str">
        <f>IF($O58="","",ROUND($O58*IFERROR(VLOOKUP($Q58,Stammdaten!$E$26:$F$32,2,FALSE()),0),0))</f>
        <v/>
      </c>
      <c r="AB58" s="48" t="str">
        <f>IF($J58="","",ROUND($J58*IFERROR(VLOOKUP($R58,Stammdaten!$H$26:$I$31,2,FALSE()),0),0))</f>
        <v/>
      </c>
      <c r="AC58" s="49" t="str">
        <f t="shared" si="12"/>
        <v/>
      </c>
      <c r="AD58" s="50" t="str">
        <f t="shared" si="13"/>
        <v/>
      </c>
      <c r="AE58" s="43"/>
      <c r="AF58" s="51"/>
      <c r="AG58" s="42"/>
      <c r="AH58" s="52" t="str">
        <f t="shared" ca="1" si="14"/>
        <v/>
      </c>
      <c r="AI58" s="53" t="str">
        <f t="shared" si="15"/>
        <v/>
      </c>
      <c r="AJ58" s="44"/>
    </row>
    <row r="59" spans="1:36" ht="18" customHeight="1" x14ac:dyDescent="0.2">
      <c r="A59" s="41"/>
      <c r="B59" s="42"/>
      <c r="C59" s="43"/>
      <c r="D59" s="44"/>
      <c r="E59" s="42"/>
      <c r="F59" s="42"/>
      <c r="G59" s="45"/>
      <c r="H59" s="45"/>
      <c r="I59" s="45"/>
      <c r="J59" s="46" t="str">
        <f t="shared" si="8"/>
        <v/>
      </c>
      <c r="K59" s="46" t="str">
        <f t="shared" si="9"/>
        <v/>
      </c>
      <c r="L59" s="46" t="str">
        <f t="shared" si="10"/>
        <v/>
      </c>
      <c r="M59" s="47"/>
      <c r="N59" s="47"/>
      <c r="O59" s="46" t="str">
        <f t="shared" si="11"/>
        <v/>
      </c>
      <c r="P59" s="42"/>
      <c r="Q59" s="42"/>
      <c r="R59" s="42"/>
      <c r="S59" s="42"/>
      <c r="T59" s="42"/>
      <c r="U59" s="47"/>
      <c r="V59" s="47"/>
      <c r="W59" s="43"/>
      <c r="X59" s="47"/>
      <c r="Y59" s="42"/>
      <c r="Z59" s="48" t="str">
        <f>IF($J59="","",ROUND($J59*IFERROR(VLOOKUP($P59,Stammdaten!$B$26:$C$34,2,FALSE()),0),0))</f>
        <v/>
      </c>
      <c r="AA59" s="48" t="str">
        <f>IF($O59="","",ROUND($O59*IFERROR(VLOOKUP($Q59,Stammdaten!$E$26:$F$32,2,FALSE()),0),0))</f>
        <v/>
      </c>
      <c r="AB59" s="48" t="str">
        <f>IF($J59="","",ROUND($J59*IFERROR(VLOOKUP($R59,Stammdaten!$H$26:$I$31,2,FALSE()),0),0))</f>
        <v/>
      </c>
      <c r="AC59" s="49" t="str">
        <f t="shared" si="12"/>
        <v/>
      </c>
      <c r="AD59" s="50" t="str">
        <f t="shared" si="13"/>
        <v/>
      </c>
      <c r="AE59" s="43"/>
      <c r="AF59" s="51"/>
      <c r="AG59" s="42"/>
      <c r="AH59" s="52" t="str">
        <f t="shared" ca="1" si="14"/>
        <v/>
      </c>
      <c r="AI59" s="53" t="str">
        <f t="shared" si="15"/>
        <v/>
      </c>
      <c r="AJ59" s="44"/>
    </row>
    <row r="60" spans="1:36" ht="18" customHeight="1" x14ac:dyDescent="0.2">
      <c r="A60" s="41"/>
      <c r="B60" s="42"/>
      <c r="C60" s="43"/>
      <c r="D60" s="44"/>
      <c r="E60" s="42"/>
      <c r="F60" s="42"/>
      <c r="G60" s="45"/>
      <c r="H60" s="45"/>
      <c r="I60" s="45"/>
      <c r="J60" s="46" t="str">
        <f t="shared" si="8"/>
        <v/>
      </c>
      <c r="K60" s="46" t="str">
        <f t="shared" si="9"/>
        <v/>
      </c>
      <c r="L60" s="46" t="str">
        <f t="shared" si="10"/>
        <v/>
      </c>
      <c r="M60" s="47"/>
      <c r="N60" s="47"/>
      <c r="O60" s="46" t="str">
        <f t="shared" si="11"/>
        <v/>
      </c>
      <c r="P60" s="42"/>
      <c r="Q60" s="42"/>
      <c r="R60" s="42"/>
      <c r="S60" s="42"/>
      <c r="T60" s="42"/>
      <c r="U60" s="47"/>
      <c r="V60" s="47"/>
      <c r="W60" s="43"/>
      <c r="X60" s="47"/>
      <c r="Y60" s="42"/>
      <c r="Z60" s="48" t="str">
        <f>IF($J60="","",ROUND($J60*IFERROR(VLOOKUP($P60,Stammdaten!$B$26:$C$34,2,FALSE()),0),0))</f>
        <v/>
      </c>
      <c r="AA60" s="48" t="str">
        <f>IF($O60="","",ROUND($O60*IFERROR(VLOOKUP($Q60,Stammdaten!$E$26:$F$32,2,FALSE()),0),0))</f>
        <v/>
      </c>
      <c r="AB60" s="48" t="str">
        <f>IF($J60="","",ROUND($J60*IFERROR(VLOOKUP($R60,Stammdaten!$H$26:$I$31,2,FALSE()),0),0))</f>
        <v/>
      </c>
      <c r="AC60" s="49" t="str">
        <f t="shared" si="12"/>
        <v/>
      </c>
      <c r="AD60" s="50" t="str">
        <f t="shared" si="13"/>
        <v/>
      </c>
      <c r="AE60" s="43"/>
      <c r="AF60" s="51"/>
      <c r="AG60" s="42"/>
      <c r="AH60" s="52" t="str">
        <f t="shared" ca="1" si="14"/>
        <v/>
      </c>
      <c r="AI60" s="53" t="str">
        <f t="shared" si="15"/>
        <v/>
      </c>
      <c r="AJ60" s="44"/>
    </row>
    <row r="61" spans="1:36" ht="18" customHeight="1" x14ac:dyDescent="0.2">
      <c r="A61" s="41"/>
      <c r="B61" s="42"/>
      <c r="C61" s="43"/>
      <c r="D61" s="44"/>
      <c r="E61" s="42"/>
      <c r="F61" s="42"/>
      <c r="G61" s="45"/>
      <c r="H61" s="45"/>
      <c r="I61" s="45"/>
      <c r="J61" s="46" t="str">
        <f t="shared" si="8"/>
        <v/>
      </c>
      <c r="K61" s="46" t="str">
        <f t="shared" si="9"/>
        <v/>
      </c>
      <c r="L61" s="46" t="str">
        <f t="shared" si="10"/>
        <v/>
      </c>
      <c r="M61" s="47"/>
      <c r="N61" s="47"/>
      <c r="O61" s="46" t="str">
        <f t="shared" si="11"/>
        <v/>
      </c>
      <c r="P61" s="42"/>
      <c r="Q61" s="42"/>
      <c r="R61" s="42"/>
      <c r="S61" s="42"/>
      <c r="T61" s="42"/>
      <c r="U61" s="47"/>
      <c r="V61" s="47"/>
      <c r="W61" s="43"/>
      <c r="X61" s="47"/>
      <c r="Y61" s="42"/>
      <c r="Z61" s="48" t="str">
        <f>IF($J61="","",ROUND($J61*IFERROR(VLOOKUP($P61,Stammdaten!$B$26:$C$34,2,FALSE()),0),0))</f>
        <v/>
      </c>
      <c r="AA61" s="48" t="str">
        <f>IF($O61="","",ROUND($O61*IFERROR(VLOOKUP($Q61,Stammdaten!$E$26:$F$32,2,FALSE()),0),0))</f>
        <v/>
      </c>
      <c r="AB61" s="48" t="str">
        <f>IF($J61="","",ROUND($J61*IFERROR(VLOOKUP($R61,Stammdaten!$H$26:$I$31,2,FALSE()),0),0))</f>
        <v/>
      </c>
      <c r="AC61" s="49" t="str">
        <f t="shared" si="12"/>
        <v/>
      </c>
      <c r="AD61" s="50" t="str">
        <f t="shared" si="13"/>
        <v/>
      </c>
      <c r="AE61" s="43"/>
      <c r="AF61" s="51"/>
      <c r="AG61" s="42"/>
      <c r="AH61" s="52" t="str">
        <f t="shared" ca="1" si="14"/>
        <v/>
      </c>
      <c r="AI61" s="53" t="str">
        <f t="shared" si="15"/>
        <v/>
      </c>
      <c r="AJ61" s="44"/>
    </row>
    <row r="62" spans="1:36" ht="18" customHeight="1" x14ac:dyDescent="0.2">
      <c r="A62" s="41"/>
      <c r="B62" s="42"/>
      <c r="C62" s="43"/>
      <c r="D62" s="44"/>
      <c r="E62" s="42"/>
      <c r="F62" s="42"/>
      <c r="G62" s="45"/>
      <c r="H62" s="45"/>
      <c r="I62" s="45"/>
      <c r="J62" s="46" t="str">
        <f t="shared" si="8"/>
        <v/>
      </c>
      <c r="K62" s="46" t="str">
        <f t="shared" si="9"/>
        <v/>
      </c>
      <c r="L62" s="46" t="str">
        <f t="shared" si="10"/>
        <v/>
      </c>
      <c r="M62" s="47"/>
      <c r="N62" s="47"/>
      <c r="O62" s="46" t="str">
        <f t="shared" si="11"/>
        <v/>
      </c>
      <c r="P62" s="42"/>
      <c r="Q62" s="42"/>
      <c r="R62" s="42"/>
      <c r="S62" s="42"/>
      <c r="T62" s="42"/>
      <c r="U62" s="47"/>
      <c r="V62" s="47"/>
      <c r="W62" s="43"/>
      <c r="X62" s="47"/>
      <c r="Y62" s="42"/>
      <c r="Z62" s="48" t="str">
        <f>IF($J62="","",ROUND($J62*IFERROR(VLOOKUP($P62,Stammdaten!$B$26:$C$34,2,FALSE()),0),0))</f>
        <v/>
      </c>
      <c r="AA62" s="48" t="str">
        <f>IF($O62="","",ROUND($O62*IFERROR(VLOOKUP($Q62,Stammdaten!$E$26:$F$32,2,FALSE()),0),0))</f>
        <v/>
      </c>
      <c r="AB62" s="48" t="str">
        <f>IF($J62="","",ROUND($J62*IFERROR(VLOOKUP($R62,Stammdaten!$H$26:$I$31,2,FALSE()),0),0))</f>
        <v/>
      </c>
      <c r="AC62" s="49" t="str">
        <f t="shared" si="12"/>
        <v/>
      </c>
      <c r="AD62" s="50" t="str">
        <f t="shared" si="13"/>
        <v/>
      </c>
      <c r="AE62" s="43"/>
      <c r="AF62" s="51"/>
      <c r="AG62" s="42"/>
      <c r="AH62" s="52" t="str">
        <f t="shared" ca="1" si="14"/>
        <v/>
      </c>
      <c r="AI62" s="53" t="str">
        <f t="shared" si="15"/>
        <v/>
      </c>
      <c r="AJ62" s="44"/>
    </row>
    <row r="63" spans="1:36" ht="18" customHeight="1" x14ac:dyDescent="0.2">
      <c r="A63" s="41"/>
      <c r="B63" s="42"/>
      <c r="C63" s="43"/>
      <c r="D63" s="44"/>
      <c r="E63" s="42"/>
      <c r="F63" s="42"/>
      <c r="G63" s="45"/>
      <c r="H63" s="45"/>
      <c r="I63" s="45"/>
      <c r="J63" s="46" t="str">
        <f t="shared" si="8"/>
        <v/>
      </c>
      <c r="K63" s="46" t="str">
        <f t="shared" si="9"/>
        <v/>
      </c>
      <c r="L63" s="46" t="str">
        <f t="shared" si="10"/>
        <v/>
      </c>
      <c r="M63" s="47"/>
      <c r="N63" s="47"/>
      <c r="O63" s="46" t="str">
        <f t="shared" si="11"/>
        <v/>
      </c>
      <c r="P63" s="42"/>
      <c r="Q63" s="42"/>
      <c r="R63" s="42"/>
      <c r="S63" s="42"/>
      <c r="T63" s="42"/>
      <c r="U63" s="47"/>
      <c r="V63" s="47"/>
      <c r="W63" s="43"/>
      <c r="X63" s="47"/>
      <c r="Y63" s="42"/>
      <c r="Z63" s="48" t="str">
        <f>IF($J63="","",ROUND($J63*IFERROR(VLOOKUP($P63,Stammdaten!$B$26:$C$34,2,FALSE()),0),0))</f>
        <v/>
      </c>
      <c r="AA63" s="48" t="str">
        <f>IF($O63="","",ROUND($O63*IFERROR(VLOOKUP($Q63,Stammdaten!$E$26:$F$32,2,FALSE()),0),0))</f>
        <v/>
      </c>
      <c r="AB63" s="48" t="str">
        <f>IF($J63="","",ROUND($J63*IFERROR(VLOOKUP($R63,Stammdaten!$H$26:$I$31,2,FALSE()),0),0))</f>
        <v/>
      </c>
      <c r="AC63" s="49" t="str">
        <f t="shared" si="12"/>
        <v/>
      </c>
      <c r="AD63" s="50" t="str">
        <f t="shared" si="13"/>
        <v/>
      </c>
      <c r="AE63" s="43"/>
      <c r="AF63" s="51"/>
      <c r="AG63" s="42"/>
      <c r="AH63" s="52" t="str">
        <f t="shared" ca="1" si="14"/>
        <v/>
      </c>
      <c r="AI63" s="53" t="str">
        <f t="shared" si="15"/>
        <v/>
      </c>
      <c r="AJ63" s="44"/>
    </row>
    <row r="64" spans="1:36" ht="18" customHeight="1" x14ac:dyDescent="0.2">
      <c r="A64" s="41"/>
      <c r="B64" s="42"/>
      <c r="C64" s="43"/>
      <c r="D64" s="44"/>
      <c r="E64" s="42"/>
      <c r="F64" s="42"/>
      <c r="G64" s="45"/>
      <c r="H64" s="45"/>
      <c r="I64" s="45"/>
      <c r="J64" s="46" t="str">
        <f t="shared" si="8"/>
        <v/>
      </c>
      <c r="K64" s="46" t="str">
        <f t="shared" si="9"/>
        <v/>
      </c>
      <c r="L64" s="46" t="str">
        <f t="shared" si="10"/>
        <v/>
      </c>
      <c r="M64" s="47"/>
      <c r="N64" s="47"/>
      <c r="O64" s="46" t="str">
        <f t="shared" si="11"/>
        <v/>
      </c>
      <c r="P64" s="42"/>
      <c r="Q64" s="42"/>
      <c r="R64" s="42"/>
      <c r="S64" s="42"/>
      <c r="T64" s="42"/>
      <c r="U64" s="47"/>
      <c r="V64" s="47"/>
      <c r="W64" s="43"/>
      <c r="X64" s="47"/>
      <c r="Y64" s="42"/>
      <c r="Z64" s="48" t="str">
        <f>IF($J64="","",ROUND($J64*IFERROR(VLOOKUP($P64,Stammdaten!$B$26:$C$34,2,FALSE()),0),0))</f>
        <v/>
      </c>
      <c r="AA64" s="48" t="str">
        <f>IF($O64="","",ROUND($O64*IFERROR(VLOOKUP($Q64,Stammdaten!$E$26:$F$32,2,FALSE()),0),0))</f>
        <v/>
      </c>
      <c r="AB64" s="48" t="str">
        <f>IF($J64="","",ROUND($J64*IFERROR(VLOOKUP($R64,Stammdaten!$H$26:$I$31,2,FALSE()),0),0))</f>
        <v/>
      </c>
      <c r="AC64" s="49" t="str">
        <f t="shared" si="12"/>
        <v/>
      </c>
      <c r="AD64" s="50" t="str">
        <f t="shared" si="13"/>
        <v/>
      </c>
      <c r="AE64" s="43"/>
      <c r="AF64" s="51"/>
      <c r="AG64" s="42"/>
      <c r="AH64" s="52" t="str">
        <f t="shared" ca="1" si="14"/>
        <v/>
      </c>
      <c r="AI64" s="53" t="str">
        <f t="shared" si="15"/>
        <v/>
      </c>
      <c r="AJ64" s="44"/>
    </row>
    <row r="65" spans="1:36" ht="18" customHeight="1" x14ac:dyDescent="0.2">
      <c r="A65" s="41"/>
      <c r="B65" s="42"/>
      <c r="C65" s="43"/>
      <c r="D65" s="44"/>
      <c r="E65" s="42"/>
      <c r="F65" s="42"/>
      <c r="G65" s="45"/>
      <c r="H65" s="45"/>
      <c r="I65" s="45"/>
      <c r="J65" s="46" t="str">
        <f t="shared" si="8"/>
        <v/>
      </c>
      <c r="K65" s="46" t="str">
        <f t="shared" si="9"/>
        <v/>
      </c>
      <c r="L65" s="46" t="str">
        <f t="shared" si="10"/>
        <v/>
      </c>
      <c r="M65" s="47"/>
      <c r="N65" s="47"/>
      <c r="O65" s="46" t="str">
        <f t="shared" si="11"/>
        <v/>
      </c>
      <c r="P65" s="42"/>
      <c r="Q65" s="42"/>
      <c r="R65" s="42"/>
      <c r="S65" s="42"/>
      <c r="T65" s="42"/>
      <c r="U65" s="47"/>
      <c r="V65" s="47"/>
      <c r="W65" s="43"/>
      <c r="X65" s="47"/>
      <c r="Y65" s="42"/>
      <c r="Z65" s="48" t="str">
        <f>IF($J65="","",ROUND($J65*IFERROR(VLOOKUP($P65,Stammdaten!$B$26:$C$34,2,FALSE()),0),0))</f>
        <v/>
      </c>
      <c r="AA65" s="48" t="str">
        <f>IF($O65="","",ROUND($O65*IFERROR(VLOOKUP($Q65,Stammdaten!$E$26:$F$32,2,FALSE()),0),0))</f>
        <v/>
      </c>
      <c r="AB65" s="48" t="str">
        <f>IF($J65="","",ROUND($J65*IFERROR(VLOOKUP($R65,Stammdaten!$H$26:$I$31,2,FALSE()),0),0))</f>
        <v/>
      </c>
      <c r="AC65" s="49" t="str">
        <f t="shared" si="12"/>
        <v/>
      </c>
      <c r="AD65" s="50" t="str">
        <f t="shared" si="13"/>
        <v/>
      </c>
      <c r="AE65" s="43"/>
      <c r="AF65" s="51"/>
      <c r="AG65" s="42"/>
      <c r="AH65" s="52" t="str">
        <f t="shared" ca="1" si="14"/>
        <v/>
      </c>
      <c r="AI65" s="53" t="str">
        <f t="shared" si="15"/>
        <v/>
      </c>
      <c r="AJ65" s="44"/>
    </row>
    <row r="66" spans="1:36" ht="18" customHeight="1" x14ac:dyDescent="0.2">
      <c r="A66" s="41"/>
      <c r="B66" s="42"/>
      <c r="C66" s="43"/>
      <c r="D66" s="44"/>
      <c r="E66" s="42"/>
      <c r="F66" s="42"/>
      <c r="G66" s="45"/>
      <c r="H66" s="45"/>
      <c r="I66" s="45"/>
      <c r="J66" s="46" t="str">
        <f t="shared" si="8"/>
        <v/>
      </c>
      <c r="K66" s="46" t="str">
        <f t="shared" si="9"/>
        <v/>
      </c>
      <c r="L66" s="46" t="str">
        <f t="shared" si="10"/>
        <v/>
      </c>
      <c r="M66" s="47"/>
      <c r="N66" s="47"/>
      <c r="O66" s="46" t="str">
        <f t="shared" si="11"/>
        <v/>
      </c>
      <c r="P66" s="42"/>
      <c r="Q66" s="42"/>
      <c r="R66" s="42"/>
      <c r="S66" s="42"/>
      <c r="T66" s="42"/>
      <c r="U66" s="47"/>
      <c r="V66" s="47"/>
      <c r="W66" s="43"/>
      <c r="X66" s="47"/>
      <c r="Y66" s="42"/>
      <c r="Z66" s="48" t="str">
        <f>IF($J66="","",ROUND($J66*IFERROR(VLOOKUP($P66,Stammdaten!$B$26:$C$34,2,FALSE()),0),0))</f>
        <v/>
      </c>
      <c r="AA66" s="48" t="str">
        <f>IF($O66="","",ROUND($O66*IFERROR(VLOOKUP($Q66,Stammdaten!$E$26:$F$32,2,FALSE()),0),0))</f>
        <v/>
      </c>
      <c r="AB66" s="48" t="str">
        <f>IF($J66="","",ROUND($J66*IFERROR(VLOOKUP($R66,Stammdaten!$H$26:$I$31,2,FALSE()),0),0))</f>
        <v/>
      </c>
      <c r="AC66" s="49" t="str">
        <f t="shared" si="12"/>
        <v/>
      </c>
      <c r="AD66" s="50" t="str">
        <f t="shared" si="13"/>
        <v/>
      </c>
      <c r="AE66" s="43"/>
      <c r="AF66" s="51"/>
      <c r="AG66" s="42"/>
      <c r="AH66" s="52" t="str">
        <f t="shared" ca="1" si="14"/>
        <v/>
      </c>
      <c r="AI66" s="53" t="str">
        <f t="shared" si="15"/>
        <v/>
      </c>
      <c r="AJ66" s="44"/>
    </row>
    <row r="67" spans="1:36" ht="18" customHeight="1" x14ac:dyDescent="0.2">
      <c r="A67" s="41"/>
      <c r="B67" s="42"/>
      <c r="C67" s="43"/>
      <c r="D67" s="44"/>
      <c r="E67" s="42"/>
      <c r="F67" s="42"/>
      <c r="G67" s="45"/>
      <c r="H67" s="45"/>
      <c r="I67" s="45"/>
      <c r="J67" s="46" t="str">
        <f t="shared" si="8"/>
        <v/>
      </c>
      <c r="K67" s="46" t="str">
        <f t="shared" si="9"/>
        <v/>
      </c>
      <c r="L67" s="46" t="str">
        <f t="shared" si="10"/>
        <v/>
      </c>
      <c r="M67" s="47"/>
      <c r="N67" s="47"/>
      <c r="O67" s="46" t="str">
        <f t="shared" si="11"/>
        <v/>
      </c>
      <c r="P67" s="42"/>
      <c r="Q67" s="42"/>
      <c r="R67" s="42"/>
      <c r="S67" s="42"/>
      <c r="T67" s="42"/>
      <c r="U67" s="47"/>
      <c r="V67" s="47"/>
      <c r="W67" s="43"/>
      <c r="X67" s="47"/>
      <c r="Y67" s="42"/>
      <c r="Z67" s="48" t="str">
        <f>IF($J67="","",ROUND($J67*IFERROR(VLOOKUP($P67,Stammdaten!$B$26:$C$34,2,FALSE()),0),0))</f>
        <v/>
      </c>
      <c r="AA67" s="48" t="str">
        <f>IF($O67="","",ROUND($O67*IFERROR(VLOOKUP($Q67,Stammdaten!$E$26:$F$32,2,FALSE()),0),0))</f>
        <v/>
      </c>
      <c r="AB67" s="48" t="str">
        <f>IF($J67="","",ROUND($J67*IFERROR(VLOOKUP($R67,Stammdaten!$H$26:$I$31,2,FALSE()),0),0))</f>
        <v/>
      </c>
      <c r="AC67" s="49" t="str">
        <f t="shared" si="12"/>
        <v/>
      </c>
      <c r="AD67" s="50" t="str">
        <f t="shared" si="13"/>
        <v/>
      </c>
      <c r="AE67" s="43"/>
      <c r="AF67" s="51"/>
      <c r="AG67" s="42"/>
      <c r="AH67" s="52" t="str">
        <f t="shared" ca="1" si="14"/>
        <v/>
      </c>
      <c r="AI67" s="53" t="str">
        <f t="shared" si="15"/>
        <v/>
      </c>
      <c r="AJ67" s="44"/>
    </row>
    <row r="68" spans="1:36" ht="18" customHeight="1" x14ac:dyDescent="0.2">
      <c r="A68" s="41"/>
      <c r="B68" s="42"/>
      <c r="C68" s="43"/>
      <c r="D68" s="44"/>
      <c r="E68" s="42"/>
      <c r="F68" s="42"/>
      <c r="G68" s="45"/>
      <c r="H68" s="45"/>
      <c r="I68" s="45"/>
      <c r="J68" s="46" t="str">
        <f t="shared" si="8"/>
        <v/>
      </c>
      <c r="K68" s="46" t="str">
        <f t="shared" si="9"/>
        <v/>
      </c>
      <c r="L68" s="46" t="str">
        <f t="shared" si="10"/>
        <v/>
      </c>
      <c r="M68" s="47"/>
      <c r="N68" s="47"/>
      <c r="O68" s="46" t="str">
        <f t="shared" si="11"/>
        <v/>
      </c>
      <c r="P68" s="42"/>
      <c r="Q68" s="42"/>
      <c r="R68" s="42"/>
      <c r="S68" s="42"/>
      <c r="T68" s="42"/>
      <c r="U68" s="47"/>
      <c r="V68" s="47"/>
      <c r="W68" s="43"/>
      <c r="X68" s="47"/>
      <c r="Y68" s="42"/>
      <c r="Z68" s="48" t="str">
        <f>IF($J68="","",ROUND($J68*IFERROR(VLOOKUP($P68,Stammdaten!$B$26:$C$34,2,FALSE()),0),0))</f>
        <v/>
      </c>
      <c r="AA68" s="48" t="str">
        <f>IF($O68="","",ROUND($O68*IFERROR(VLOOKUP($Q68,Stammdaten!$E$26:$F$32,2,FALSE()),0),0))</f>
        <v/>
      </c>
      <c r="AB68" s="48" t="str">
        <f>IF($J68="","",ROUND($J68*IFERROR(VLOOKUP($R68,Stammdaten!$H$26:$I$31,2,FALSE()),0),0))</f>
        <v/>
      </c>
      <c r="AC68" s="49" t="str">
        <f t="shared" si="12"/>
        <v/>
      </c>
      <c r="AD68" s="50" t="str">
        <f t="shared" si="13"/>
        <v/>
      </c>
      <c r="AE68" s="43"/>
      <c r="AF68" s="51"/>
      <c r="AG68" s="42"/>
      <c r="AH68" s="52" t="str">
        <f t="shared" ca="1" si="14"/>
        <v/>
      </c>
      <c r="AI68" s="53" t="str">
        <f t="shared" si="15"/>
        <v/>
      </c>
      <c r="AJ68" s="44"/>
    </row>
    <row r="69" spans="1:36" ht="18" customHeight="1" x14ac:dyDescent="0.2">
      <c r="A69" s="41"/>
      <c r="B69" s="42"/>
      <c r="C69" s="43"/>
      <c r="D69" s="44"/>
      <c r="E69" s="42"/>
      <c r="F69" s="42"/>
      <c r="G69" s="45"/>
      <c r="H69" s="45"/>
      <c r="I69" s="45"/>
      <c r="J69" s="46" t="str">
        <f t="shared" si="8"/>
        <v/>
      </c>
      <c r="K69" s="46" t="str">
        <f t="shared" si="9"/>
        <v/>
      </c>
      <c r="L69" s="46" t="str">
        <f t="shared" si="10"/>
        <v/>
      </c>
      <c r="M69" s="47"/>
      <c r="N69" s="47"/>
      <c r="O69" s="46" t="str">
        <f t="shared" si="11"/>
        <v/>
      </c>
      <c r="P69" s="42"/>
      <c r="Q69" s="42"/>
      <c r="R69" s="42"/>
      <c r="S69" s="42"/>
      <c r="T69" s="42"/>
      <c r="U69" s="47"/>
      <c r="V69" s="47"/>
      <c r="W69" s="43"/>
      <c r="X69" s="47"/>
      <c r="Y69" s="42"/>
      <c r="Z69" s="48" t="str">
        <f>IF($J69="","",ROUND($J69*IFERROR(VLOOKUP($P69,Stammdaten!$B$26:$C$34,2,FALSE()),0),0))</f>
        <v/>
      </c>
      <c r="AA69" s="48" t="str">
        <f>IF($O69="","",ROUND($O69*IFERROR(VLOOKUP($Q69,Stammdaten!$E$26:$F$32,2,FALSE()),0),0))</f>
        <v/>
      </c>
      <c r="AB69" s="48" t="str">
        <f>IF($J69="","",ROUND($J69*IFERROR(VLOOKUP($R69,Stammdaten!$H$26:$I$31,2,FALSE()),0),0))</f>
        <v/>
      </c>
      <c r="AC69" s="49" t="str">
        <f t="shared" si="12"/>
        <v/>
      </c>
      <c r="AD69" s="50" t="str">
        <f t="shared" si="13"/>
        <v/>
      </c>
      <c r="AE69" s="43"/>
      <c r="AF69" s="51"/>
      <c r="AG69" s="42"/>
      <c r="AH69" s="52" t="str">
        <f t="shared" ca="1" si="14"/>
        <v/>
      </c>
      <c r="AI69" s="53" t="str">
        <f t="shared" si="15"/>
        <v/>
      </c>
      <c r="AJ69" s="44"/>
    </row>
    <row r="70" spans="1:36" ht="18" customHeight="1" x14ac:dyDescent="0.2">
      <c r="A70" s="41"/>
      <c r="B70" s="42"/>
      <c r="C70" s="43"/>
      <c r="D70" s="44"/>
      <c r="E70" s="42"/>
      <c r="F70" s="42"/>
      <c r="G70" s="45"/>
      <c r="H70" s="45"/>
      <c r="I70" s="45"/>
      <c r="J70" s="46" t="str">
        <f t="shared" ref="J70:J85" si="16">IF(OR($G70="",$H70=""),"",ROUND($G70*$H70,2))</f>
        <v/>
      </c>
      <c r="K70" s="46" t="str">
        <f t="shared" ref="K70:K85" si="17">IF(OR($G70="",$H70=""),"",ROUND(2*($G70+$H70),2))</f>
        <v/>
      </c>
      <c r="L70" s="46" t="str">
        <f t="shared" ref="L70:L85" si="18">IF(OR($J70="",$I70=""),"",ROUND($J70*$I70,2))</f>
        <v/>
      </c>
      <c r="M70" s="47"/>
      <c r="N70" s="47"/>
      <c r="O70" s="46" t="str">
        <f t="shared" ref="O70:O85" si="19">IF(OR($K70="",$I70=""),"",ROUND(MAX($K70*$I70-(N($M70)*2+N($N70)*1.8),0),2))</f>
        <v/>
      </c>
      <c r="P70" s="42"/>
      <c r="Q70" s="42"/>
      <c r="R70" s="42"/>
      <c r="S70" s="42"/>
      <c r="T70" s="42"/>
      <c r="U70" s="47"/>
      <c r="V70" s="47"/>
      <c r="W70" s="43"/>
      <c r="X70" s="47"/>
      <c r="Y70" s="42"/>
      <c r="Z70" s="48" t="str">
        <f>IF($J70="","",ROUND($J70*IFERROR(VLOOKUP($P70,Stammdaten!$B$26:$C$34,2,FALSE()),0),0))</f>
        <v/>
      </c>
      <c r="AA70" s="48" t="str">
        <f>IF($O70="","",ROUND($O70*IFERROR(VLOOKUP($Q70,Stammdaten!$E$26:$F$32,2,FALSE()),0),0))</f>
        <v/>
      </c>
      <c r="AB70" s="48" t="str">
        <f>IF($J70="","",ROUND($J70*IFERROR(VLOOKUP($R70,Stammdaten!$H$26:$I$31,2,FALSE()),0),0))</f>
        <v/>
      </c>
      <c r="AC70" s="49" t="str">
        <f t="shared" ref="AC70:AC85" si="20">IF($J70="","",SUM($Z70:$AB70))</f>
        <v/>
      </c>
      <c r="AD70" s="50" t="str">
        <f t="shared" ref="AD70:AD85" si="21">IF(OR($J70="",$J70=0),"",ROUND($AC70/$J70,2))</f>
        <v/>
      </c>
      <c r="AE70" s="43"/>
      <c r="AF70" s="51"/>
      <c r="AG70" s="42"/>
      <c r="AH70" s="52" t="str">
        <f t="shared" ref="AH70:AH85" ca="1" si="22">IF($D70="","",IF($AE70="Abgenommen","Abgeschlossen",IF($AF70="","Kein Termin",IF($AF70&lt;TODAY(),"Überfällig",IF($AF70-TODAY()&lt;=30,"Fällig ≤ 30 Tage","Im Plan")))))</f>
        <v/>
      </c>
      <c r="AI70" s="53" t="str">
        <f t="shared" ref="AI70:AI85" si="23">IF($D70="","",ROUND(COUNTA($A70,$B70,$C70,$E70,$G70,$H70,$I70,$P70,$Q70,$R70,$S70,$T70,$Y70,$AE70)/14,2))</f>
        <v/>
      </c>
      <c r="AJ70" s="44"/>
    </row>
    <row r="71" spans="1:36" ht="18" customHeight="1" x14ac:dyDescent="0.2">
      <c r="A71" s="41"/>
      <c r="B71" s="42"/>
      <c r="C71" s="43"/>
      <c r="D71" s="44"/>
      <c r="E71" s="42"/>
      <c r="F71" s="42"/>
      <c r="G71" s="45"/>
      <c r="H71" s="45"/>
      <c r="I71" s="45"/>
      <c r="J71" s="46" t="str">
        <f t="shared" si="16"/>
        <v/>
      </c>
      <c r="K71" s="46" t="str">
        <f t="shared" si="17"/>
        <v/>
      </c>
      <c r="L71" s="46" t="str">
        <f t="shared" si="18"/>
        <v/>
      </c>
      <c r="M71" s="47"/>
      <c r="N71" s="47"/>
      <c r="O71" s="46" t="str">
        <f t="shared" si="19"/>
        <v/>
      </c>
      <c r="P71" s="42"/>
      <c r="Q71" s="42"/>
      <c r="R71" s="42"/>
      <c r="S71" s="42"/>
      <c r="T71" s="42"/>
      <c r="U71" s="47"/>
      <c r="V71" s="47"/>
      <c r="W71" s="43"/>
      <c r="X71" s="47"/>
      <c r="Y71" s="42"/>
      <c r="Z71" s="48" t="str">
        <f>IF($J71="","",ROUND($J71*IFERROR(VLOOKUP($P71,Stammdaten!$B$26:$C$34,2,FALSE()),0),0))</f>
        <v/>
      </c>
      <c r="AA71" s="48" t="str">
        <f>IF($O71="","",ROUND($O71*IFERROR(VLOOKUP($Q71,Stammdaten!$E$26:$F$32,2,FALSE()),0),0))</f>
        <v/>
      </c>
      <c r="AB71" s="48" t="str">
        <f>IF($J71="","",ROUND($J71*IFERROR(VLOOKUP($R71,Stammdaten!$H$26:$I$31,2,FALSE()),0),0))</f>
        <v/>
      </c>
      <c r="AC71" s="49" t="str">
        <f t="shared" si="20"/>
        <v/>
      </c>
      <c r="AD71" s="50" t="str">
        <f t="shared" si="21"/>
        <v/>
      </c>
      <c r="AE71" s="43"/>
      <c r="AF71" s="51"/>
      <c r="AG71" s="42"/>
      <c r="AH71" s="52" t="str">
        <f t="shared" ca="1" si="22"/>
        <v/>
      </c>
      <c r="AI71" s="53" t="str">
        <f t="shared" si="23"/>
        <v/>
      </c>
      <c r="AJ71" s="44"/>
    </row>
    <row r="72" spans="1:36" ht="18" customHeight="1" x14ac:dyDescent="0.2">
      <c r="A72" s="41"/>
      <c r="B72" s="42"/>
      <c r="C72" s="43"/>
      <c r="D72" s="44"/>
      <c r="E72" s="42"/>
      <c r="F72" s="42"/>
      <c r="G72" s="45"/>
      <c r="H72" s="45"/>
      <c r="I72" s="45"/>
      <c r="J72" s="46" t="str">
        <f t="shared" si="16"/>
        <v/>
      </c>
      <c r="K72" s="46" t="str">
        <f t="shared" si="17"/>
        <v/>
      </c>
      <c r="L72" s="46" t="str">
        <f t="shared" si="18"/>
        <v/>
      </c>
      <c r="M72" s="47"/>
      <c r="N72" s="47"/>
      <c r="O72" s="46" t="str">
        <f t="shared" si="19"/>
        <v/>
      </c>
      <c r="P72" s="42"/>
      <c r="Q72" s="42"/>
      <c r="R72" s="42"/>
      <c r="S72" s="42"/>
      <c r="T72" s="42"/>
      <c r="U72" s="47"/>
      <c r="V72" s="47"/>
      <c r="W72" s="43"/>
      <c r="X72" s="47"/>
      <c r="Y72" s="42"/>
      <c r="Z72" s="48" t="str">
        <f>IF($J72="","",ROUND($J72*IFERROR(VLOOKUP($P72,Stammdaten!$B$26:$C$34,2,FALSE()),0),0))</f>
        <v/>
      </c>
      <c r="AA72" s="48" t="str">
        <f>IF($O72="","",ROUND($O72*IFERROR(VLOOKUP($Q72,Stammdaten!$E$26:$F$32,2,FALSE()),0),0))</f>
        <v/>
      </c>
      <c r="AB72" s="48" t="str">
        <f>IF($J72="","",ROUND($J72*IFERROR(VLOOKUP($R72,Stammdaten!$H$26:$I$31,2,FALSE()),0),0))</f>
        <v/>
      </c>
      <c r="AC72" s="49" t="str">
        <f t="shared" si="20"/>
        <v/>
      </c>
      <c r="AD72" s="50" t="str">
        <f t="shared" si="21"/>
        <v/>
      </c>
      <c r="AE72" s="43"/>
      <c r="AF72" s="51"/>
      <c r="AG72" s="42"/>
      <c r="AH72" s="52" t="str">
        <f t="shared" ca="1" si="22"/>
        <v/>
      </c>
      <c r="AI72" s="53" t="str">
        <f t="shared" si="23"/>
        <v/>
      </c>
      <c r="AJ72" s="44"/>
    </row>
    <row r="73" spans="1:36" ht="18" customHeight="1" x14ac:dyDescent="0.2">
      <c r="A73" s="41"/>
      <c r="B73" s="42"/>
      <c r="C73" s="43"/>
      <c r="D73" s="44"/>
      <c r="E73" s="42"/>
      <c r="F73" s="42"/>
      <c r="G73" s="45"/>
      <c r="H73" s="45"/>
      <c r="I73" s="45"/>
      <c r="J73" s="46" t="str">
        <f t="shared" si="16"/>
        <v/>
      </c>
      <c r="K73" s="46" t="str">
        <f t="shared" si="17"/>
        <v/>
      </c>
      <c r="L73" s="46" t="str">
        <f t="shared" si="18"/>
        <v/>
      </c>
      <c r="M73" s="47"/>
      <c r="N73" s="47"/>
      <c r="O73" s="46" t="str">
        <f t="shared" si="19"/>
        <v/>
      </c>
      <c r="P73" s="42"/>
      <c r="Q73" s="42"/>
      <c r="R73" s="42"/>
      <c r="S73" s="42"/>
      <c r="T73" s="42"/>
      <c r="U73" s="47"/>
      <c r="V73" s="47"/>
      <c r="W73" s="43"/>
      <c r="X73" s="47"/>
      <c r="Y73" s="42"/>
      <c r="Z73" s="48" t="str">
        <f>IF($J73="","",ROUND($J73*IFERROR(VLOOKUP($P73,Stammdaten!$B$26:$C$34,2,FALSE()),0),0))</f>
        <v/>
      </c>
      <c r="AA73" s="48" t="str">
        <f>IF($O73="","",ROUND($O73*IFERROR(VLOOKUP($Q73,Stammdaten!$E$26:$F$32,2,FALSE()),0),0))</f>
        <v/>
      </c>
      <c r="AB73" s="48" t="str">
        <f>IF($J73="","",ROUND($J73*IFERROR(VLOOKUP($R73,Stammdaten!$H$26:$I$31,2,FALSE()),0),0))</f>
        <v/>
      </c>
      <c r="AC73" s="49" t="str">
        <f t="shared" si="20"/>
        <v/>
      </c>
      <c r="AD73" s="50" t="str">
        <f t="shared" si="21"/>
        <v/>
      </c>
      <c r="AE73" s="43"/>
      <c r="AF73" s="51"/>
      <c r="AG73" s="42"/>
      <c r="AH73" s="52" t="str">
        <f t="shared" ca="1" si="22"/>
        <v/>
      </c>
      <c r="AI73" s="53" t="str">
        <f t="shared" si="23"/>
        <v/>
      </c>
      <c r="AJ73" s="44"/>
    </row>
    <row r="74" spans="1:36" ht="18" customHeight="1" x14ac:dyDescent="0.2">
      <c r="A74" s="41"/>
      <c r="B74" s="42"/>
      <c r="C74" s="43"/>
      <c r="D74" s="44"/>
      <c r="E74" s="42"/>
      <c r="F74" s="42"/>
      <c r="G74" s="45"/>
      <c r="H74" s="45"/>
      <c r="I74" s="45"/>
      <c r="J74" s="46" t="str">
        <f t="shared" si="16"/>
        <v/>
      </c>
      <c r="K74" s="46" t="str">
        <f t="shared" si="17"/>
        <v/>
      </c>
      <c r="L74" s="46" t="str">
        <f t="shared" si="18"/>
        <v/>
      </c>
      <c r="M74" s="47"/>
      <c r="N74" s="47"/>
      <c r="O74" s="46" t="str">
        <f t="shared" si="19"/>
        <v/>
      </c>
      <c r="P74" s="42"/>
      <c r="Q74" s="42"/>
      <c r="R74" s="42"/>
      <c r="S74" s="42"/>
      <c r="T74" s="42"/>
      <c r="U74" s="47"/>
      <c r="V74" s="47"/>
      <c r="W74" s="43"/>
      <c r="X74" s="47"/>
      <c r="Y74" s="42"/>
      <c r="Z74" s="48" t="str">
        <f>IF($J74="","",ROUND($J74*IFERROR(VLOOKUP($P74,Stammdaten!$B$26:$C$34,2,FALSE()),0),0))</f>
        <v/>
      </c>
      <c r="AA74" s="48" t="str">
        <f>IF($O74="","",ROUND($O74*IFERROR(VLOOKUP($Q74,Stammdaten!$E$26:$F$32,2,FALSE()),0),0))</f>
        <v/>
      </c>
      <c r="AB74" s="48" t="str">
        <f>IF($J74="","",ROUND($J74*IFERROR(VLOOKUP($R74,Stammdaten!$H$26:$I$31,2,FALSE()),0),0))</f>
        <v/>
      </c>
      <c r="AC74" s="49" t="str">
        <f t="shared" si="20"/>
        <v/>
      </c>
      <c r="AD74" s="50" t="str">
        <f t="shared" si="21"/>
        <v/>
      </c>
      <c r="AE74" s="43"/>
      <c r="AF74" s="51"/>
      <c r="AG74" s="42"/>
      <c r="AH74" s="52" t="str">
        <f t="shared" ca="1" si="22"/>
        <v/>
      </c>
      <c r="AI74" s="53" t="str">
        <f t="shared" si="23"/>
        <v/>
      </c>
      <c r="AJ74" s="44"/>
    </row>
    <row r="75" spans="1:36" ht="18" customHeight="1" x14ac:dyDescent="0.2">
      <c r="A75" s="41"/>
      <c r="B75" s="42"/>
      <c r="C75" s="43"/>
      <c r="D75" s="44"/>
      <c r="E75" s="42"/>
      <c r="F75" s="42"/>
      <c r="G75" s="45"/>
      <c r="H75" s="45"/>
      <c r="I75" s="45"/>
      <c r="J75" s="46" t="str">
        <f t="shared" si="16"/>
        <v/>
      </c>
      <c r="K75" s="46" t="str">
        <f t="shared" si="17"/>
        <v/>
      </c>
      <c r="L75" s="46" t="str">
        <f t="shared" si="18"/>
        <v/>
      </c>
      <c r="M75" s="47"/>
      <c r="N75" s="47"/>
      <c r="O75" s="46" t="str">
        <f t="shared" si="19"/>
        <v/>
      </c>
      <c r="P75" s="42"/>
      <c r="Q75" s="42"/>
      <c r="R75" s="42"/>
      <c r="S75" s="42"/>
      <c r="T75" s="42"/>
      <c r="U75" s="47"/>
      <c r="V75" s="47"/>
      <c r="W75" s="43"/>
      <c r="X75" s="47"/>
      <c r="Y75" s="42"/>
      <c r="Z75" s="48" t="str">
        <f>IF($J75="","",ROUND($J75*IFERROR(VLOOKUP($P75,Stammdaten!$B$26:$C$34,2,FALSE()),0),0))</f>
        <v/>
      </c>
      <c r="AA75" s="48" t="str">
        <f>IF($O75="","",ROUND($O75*IFERROR(VLOOKUP($Q75,Stammdaten!$E$26:$F$32,2,FALSE()),0),0))</f>
        <v/>
      </c>
      <c r="AB75" s="48" t="str">
        <f>IF($J75="","",ROUND($J75*IFERROR(VLOOKUP($R75,Stammdaten!$H$26:$I$31,2,FALSE()),0),0))</f>
        <v/>
      </c>
      <c r="AC75" s="49" t="str">
        <f t="shared" si="20"/>
        <v/>
      </c>
      <c r="AD75" s="50" t="str">
        <f t="shared" si="21"/>
        <v/>
      </c>
      <c r="AE75" s="43"/>
      <c r="AF75" s="51"/>
      <c r="AG75" s="42"/>
      <c r="AH75" s="52" t="str">
        <f t="shared" ca="1" si="22"/>
        <v/>
      </c>
      <c r="AI75" s="53" t="str">
        <f t="shared" si="23"/>
        <v/>
      </c>
      <c r="AJ75" s="44"/>
    </row>
    <row r="76" spans="1:36" ht="18" customHeight="1" x14ac:dyDescent="0.2">
      <c r="A76" s="41"/>
      <c r="B76" s="42"/>
      <c r="C76" s="43"/>
      <c r="D76" s="44"/>
      <c r="E76" s="42"/>
      <c r="F76" s="42"/>
      <c r="G76" s="45"/>
      <c r="H76" s="45"/>
      <c r="I76" s="45"/>
      <c r="J76" s="46" t="str">
        <f t="shared" si="16"/>
        <v/>
      </c>
      <c r="K76" s="46" t="str">
        <f t="shared" si="17"/>
        <v/>
      </c>
      <c r="L76" s="46" t="str">
        <f t="shared" si="18"/>
        <v/>
      </c>
      <c r="M76" s="47"/>
      <c r="N76" s="47"/>
      <c r="O76" s="46" t="str">
        <f t="shared" si="19"/>
        <v/>
      </c>
      <c r="P76" s="42"/>
      <c r="Q76" s="42"/>
      <c r="R76" s="42"/>
      <c r="S76" s="42"/>
      <c r="T76" s="42"/>
      <c r="U76" s="47"/>
      <c r="V76" s="47"/>
      <c r="W76" s="43"/>
      <c r="X76" s="47"/>
      <c r="Y76" s="42"/>
      <c r="Z76" s="48" t="str">
        <f>IF($J76="","",ROUND($J76*IFERROR(VLOOKUP($P76,Stammdaten!$B$26:$C$34,2,FALSE()),0),0))</f>
        <v/>
      </c>
      <c r="AA76" s="48" t="str">
        <f>IF($O76="","",ROUND($O76*IFERROR(VLOOKUP($Q76,Stammdaten!$E$26:$F$32,2,FALSE()),0),0))</f>
        <v/>
      </c>
      <c r="AB76" s="48" t="str">
        <f>IF($J76="","",ROUND($J76*IFERROR(VLOOKUP($R76,Stammdaten!$H$26:$I$31,2,FALSE()),0),0))</f>
        <v/>
      </c>
      <c r="AC76" s="49" t="str">
        <f t="shared" si="20"/>
        <v/>
      </c>
      <c r="AD76" s="50" t="str">
        <f t="shared" si="21"/>
        <v/>
      </c>
      <c r="AE76" s="43"/>
      <c r="AF76" s="51"/>
      <c r="AG76" s="42"/>
      <c r="AH76" s="52" t="str">
        <f t="shared" ca="1" si="22"/>
        <v/>
      </c>
      <c r="AI76" s="53" t="str">
        <f t="shared" si="23"/>
        <v/>
      </c>
      <c r="AJ76" s="44"/>
    </row>
    <row r="77" spans="1:36" ht="18" customHeight="1" x14ac:dyDescent="0.2">
      <c r="A77" s="41"/>
      <c r="B77" s="42"/>
      <c r="C77" s="43"/>
      <c r="D77" s="44"/>
      <c r="E77" s="42"/>
      <c r="F77" s="42"/>
      <c r="G77" s="45"/>
      <c r="H77" s="45"/>
      <c r="I77" s="45"/>
      <c r="J77" s="46" t="str">
        <f t="shared" si="16"/>
        <v/>
      </c>
      <c r="K77" s="46" t="str">
        <f t="shared" si="17"/>
        <v/>
      </c>
      <c r="L77" s="46" t="str">
        <f t="shared" si="18"/>
        <v/>
      </c>
      <c r="M77" s="47"/>
      <c r="N77" s="47"/>
      <c r="O77" s="46" t="str">
        <f t="shared" si="19"/>
        <v/>
      </c>
      <c r="P77" s="42"/>
      <c r="Q77" s="42"/>
      <c r="R77" s="42"/>
      <c r="S77" s="42"/>
      <c r="T77" s="42"/>
      <c r="U77" s="47"/>
      <c r="V77" s="47"/>
      <c r="W77" s="43"/>
      <c r="X77" s="47"/>
      <c r="Y77" s="42"/>
      <c r="Z77" s="48" t="str">
        <f>IF($J77="","",ROUND($J77*IFERROR(VLOOKUP($P77,Stammdaten!$B$26:$C$34,2,FALSE()),0),0))</f>
        <v/>
      </c>
      <c r="AA77" s="48" t="str">
        <f>IF($O77="","",ROUND($O77*IFERROR(VLOOKUP($Q77,Stammdaten!$E$26:$F$32,2,FALSE()),0),0))</f>
        <v/>
      </c>
      <c r="AB77" s="48" t="str">
        <f>IF($J77="","",ROUND($J77*IFERROR(VLOOKUP($R77,Stammdaten!$H$26:$I$31,2,FALSE()),0),0))</f>
        <v/>
      </c>
      <c r="AC77" s="49" t="str">
        <f t="shared" si="20"/>
        <v/>
      </c>
      <c r="AD77" s="50" t="str">
        <f t="shared" si="21"/>
        <v/>
      </c>
      <c r="AE77" s="43"/>
      <c r="AF77" s="51"/>
      <c r="AG77" s="42"/>
      <c r="AH77" s="52" t="str">
        <f t="shared" ca="1" si="22"/>
        <v/>
      </c>
      <c r="AI77" s="53" t="str">
        <f t="shared" si="23"/>
        <v/>
      </c>
      <c r="AJ77" s="44"/>
    </row>
    <row r="78" spans="1:36" ht="18" customHeight="1" x14ac:dyDescent="0.2">
      <c r="A78" s="41"/>
      <c r="B78" s="42"/>
      <c r="C78" s="43"/>
      <c r="D78" s="44"/>
      <c r="E78" s="42"/>
      <c r="F78" s="42"/>
      <c r="G78" s="45"/>
      <c r="H78" s="45"/>
      <c r="I78" s="45"/>
      <c r="J78" s="46" t="str">
        <f t="shared" si="16"/>
        <v/>
      </c>
      <c r="K78" s="46" t="str">
        <f t="shared" si="17"/>
        <v/>
      </c>
      <c r="L78" s="46" t="str">
        <f t="shared" si="18"/>
        <v/>
      </c>
      <c r="M78" s="47"/>
      <c r="N78" s="47"/>
      <c r="O78" s="46" t="str">
        <f t="shared" si="19"/>
        <v/>
      </c>
      <c r="P78" s="42"/>
      <c r="Q78" s="42"/>
      <c r="R78" s="42"/>
      <c r="S78" s="42"/>
      <c r="T78" s="42"/>
      <c r="U78" s="47"/>
      <c r="V78" s="47"/>
      <c r="W78" s="43"/>
      <c r="X78" s="47"/>
      <c r="Y78" s="42"/>
      <c r="Z78" s="48" t="str">
        <f>IF($J78="","",ROUND($J78*IFERROR(VLOOKUP($P78,Stammdaten!$B$26:$C$34,2,FALSE()),0),0))</f>
        <v/>
      </c>
      <c r="AA78" s="48" t="str">
        <f>IF($O78="","",ROUND($O78*IFERROR(VLOOKUP($Q78,Stammdaten!$E$26:$F$32,2,FALSE()),0),0))</f>
        <v/>
      </c>
      <c r="AB78" s="48" t="str">
        <f>IF($J78="","",ROUND($J78*IFERROR(VLOOKUP($R78,Stammdaten!$H$26:$I$31,2,FALSE()),0),0))</f>
        <v/>
      </c>
      <c r="AC78" s="49" t="str">
        <f t="shared" si="20"/>
        <v/>
      </c>
      <c r="AD78" s="50" t="str">
        <f t="shared" si="21"/>
        <v/>
      </c>
      <c r="AE78" s="43"/>
      <c r="AF78" s="51"/>
      <c r="AG78" s="42"/>
      <c r="AH78" s="52" t="str">
        <f t="shared" ca="1" si="22"/>
        <v/>
      </c>
      <c r="AI78" s="53" t="str">
        <f t="shared" si="23"/>
        <v/>
      </c>
      <c r="AJ78" s="44"/>
    </row>
    <row r="79" spans="1:36" ht="18" customHeight="1" x14ac:dyDescent="0.2">
      <c r="A79" s="41"/>
      <c r="B79" s="42"/>
      <c r="C79" s="43"/>
      <c r="D79" s="44"/>
      <c r="E79" s="42"/>
      <c r="F79" s="42"/>
      <c r="G79" s="45"/>
      <c r="H79" s="45"/>
      <c r="I79" s="45"/>
      <c r="J79" s="46" t="str">
        <f t="shared" si="16"/>
        <v/>
      </c>
      <c r="K79" s="46" t="str">
        <f t="shared" si="17"/>
        <v/>
      </c>
      <c r="L79" s="46" t="str">
        <f t="shared" si="18"/>
        <v/>
      </c>
      <c r="M79" s="47"/>
      <c r="N79" s="47"/>
      <c r="O79" s="46" t="str">
        <f t="shared" si="19"/>
        <v/>
      </c>
      <c r="P79" s="42"/>
      <c r="Q79" s="42"/>
      <c r="R79" s="42"/>
      <c r="S79" s="42"/>
      <c r="T79" s="42"/>
      <c r="U79" s="47"/>
      <c r="V79" s="47"/>
      <c r="W79" s="43"/>
      <c r="X79" s="47"/>
      <c r="Y79" s="42"/>
      <c r="Z79" s="48" t="str">
        <f>IF($J79="","",ROUND($J79*IFERROR(VLOOKUP($P79,Stammdaten!$B$26:$C$34,2,FALSE()),0),0))</f>
        <v/>
      </c>
      <c r="AA79" s="48" t="str">
        <f>IF($O79="","",ROUND($O79*IFERROR(VLOOKUP($Q79,Stammdaten!$E$26:$F$32,2,FALSE()),0),0))</f>
        <v/>
      </c>
      <c r="AB79" s="48" t="str">
        <f>IF($J79="","",ROUND($J79*IFERROR(VLOOKUP($R79,Stammdaten!$H$26:$I$31,2,FALSE()),0),0))</f>
        <v/>
      </c>
      <c r="AC79" s="49" t="str">
        <f t="shared" si="20"/>
        <v/>
      </c>
      <c r="AD79" s="50" t="str">
        <f t="shared" si="21"/>
        <v/>
      </c>
      <c r="AE79" s="43"/>
      <c r="AF79" s="51"/>
      <c r="AG79" s="42"/>
      <c r="AH79" s="52" t="str">
        <f t="shared" ca="1" si="22"/>
        <v/>
      </c>
      <c r="AI79" s="53" t="str">
        <f t="shared" si="23"/>
        <v/>
      </c>
      <c r="AJ79" s="44"/>
    </row>
    <row r="80" spans="1:36" ht="18" customHeight="1" x14ac:dyDescent="0.2">
      <c r="A80" s="41"/>
      <c r="B80" s="42"/>
      <c r="C80" s="43"/>
      <c r="D80" s="44"/>
      <c r="E80" s="42"/>
      <c r="F80" s="42"/>
      <c r="G80" s="45"/>
      <c r="H80" s="45"/>
      <c r="I80" s="45"/>
      <c r="J80" s="46" t="str">
        <f t="shared" si="16"/>
        <v/>
      </c>
      <c r="K80" s="46" t="str">
        <f t="shared" si="17"/>
        <v/>
      </c>
      <c r="L80" s="46" t="str">
        <f t="shared" si="18"/>
        <v/>
      </c>
      <c r="M80" s="47"/>
      <c r="N80" s="47"/>
      <c r="O80" s="46" t="str">
        <f t="shared" si="19"/>
        <v/>
      </c>
      <c r="P80" s="42"/>
      <c r="Q80" s="42"/>
      <c r="R80" s="42"/>
      <c r="S80" s="42"/>
      <c r="T80" s="42"/>
      <c r="U80" s="47"/>
      <c r="V80" s="47"/>
      <c r="W80" s="43"/>
      <c r="X80" s="47"/>
      <c r="Y80" s="42"/>
      <c r="Z80" s="48" t="str">
        <f>IF($J80="","",ROUND($J80*IFERROR(VLOOKUP($P80,Stammdaten!$B$26:$C$34,2,FALSE()),0),0))</f>
        <v/>
      </c>
      <c r="AA80" s="48" t="str">
        <f>IF($O80="","",ROUND($O80*IFERROR(VLOOKUP($Q80,Stammdaten!$E$26:$F$32,2,FALSE()),0),0))</f>
        <v/>
      </c>
      <c r="AB80" s="48" t="str">
        <f>IF($J80="","",ROUND($J80*IFERROR(VLOOKUP($R80,Stammdaten!$H$26:$I$31,2,FALSE()),0),0))</f>
        <v/>
      </c>
      <c r="AC80" s="49" t="str">
        <f t="shared" si="20"/>
        <v/>
      </c>
      <c r="AD80" s="50" t="str">
        <f t="shared" si="21"/>
        <v/>
      </c>
      <c r="AE80" s="43"/>
      <c r="AF80" s="51"/>
      <c r="AG80" s="42"/>
      <c r="AH80" s="52" t="str">
        <f t="shared" ca="1" si="22"/>
        <v/>
      </c>
      <c r="AI80" s="53" t="str">
        <f t="shared" si="23"/>
        <v/>
      </c>
      <c r="AJ80" s="44"/>
    </row>
    <row r="81" spans="1:36" ht="18" customHeight="1" x14ac:dyDescent="0.2">
      <c r="A81" s="41"/>
      <c r="B81" s="42"/>
      <c r="C81" s="43"/>
      <c r="D81" s="44"/>
      <c r="E81" s="42"/>
      <c r="F81" s="42"/>
      <c r="G81" s="45"/>
      <c r="H81" s="45"/>
      <c r="I81" s="45"/>
      <c r="J81" s="46" t="str">
        <f t="shared" si="16"/>
        <v/>
      </c>
      <c r="K81" s="46" t="str">
        <f t="shared" si="17"/>
        <v/>
      </c>
      <c r="L81" s="46" t="str">
        <f t="shared" si="18"/>
        <v/>
      </c>
      <c r="M81" s="47"/>
      <c r="N81" s="47"/>
      <c r="O81" s="46" t="str">
        <f t="shared" si="19"/>
        <v/>
      </c>
      <c r="P81" s="42"/>
      <c r="Q81" s="42"/>
      <c r="R81" s="42"/>
      <c r="S81" s="42"/>
      <c r="T81" s="42"/>
      <c r="U81" s="47"/>
      <c r="V81" s="47"/>
      <c r="W81" s="43"/>
      <c r="X81" s="47"/>
      <c r="Y81" s="42"/>
      <c r="Z81" s="48" t="str">
        <f>IF($J81="","",ROUND($J81*IFERROR(VLOOKUP($P81,Stammdaten!$B$26:$C$34,2,FALSE()),0),0))</f>
        <v/>
      </c>
      <c r="AA81" s="48" t="str">
        <f>IF($O81="","",ROUND($O81*IFERROR(VLOOKUP($Q81,Stammdaten!$E$26:$F$32,2,FALSE()),0),0))</f>
        <v/>
      </c>
      <c r="AB81" s="48" t="str">
        <f>IF($J81="","",ROUND($J81*IFERROR(VLOOKUP($R81,Stammdaten!$H$26:$I$31,2,FALSE()),0),0))</f>
        <v/>
      </c>
      <c r="AC81" s="49" t="str">
        <f t="shared" si="20"/>
        <v/>
      </c>
      <c r="AD81" s="50" t="str">
        <f t="shared" si="21"/>
        <v/>
      </c>
      <c r="AE81" s="43"/>
      <c r="AF81" s="51"/>
      <c r="AG81" s="42"/>
      <c r="AH81" s="52" t="str">
        <f t="shared" ca="1" si="22"/>
        <v/>
      </c>
      <c r="AI81" s="53" t="str">
        <f t="shared" si="23"/>
        <v/>
      </c>
      <c r="AJ81" s="44"/>
    </row>
    <row r="82" spans="1:36" ht="18" customHeight="1" x14ac:dyDescent="0.2">
      <c r="A82" s="41"/>
      <c r="B82" s="42"/>
      <c r="C82" s="43"/>
      <c r="D82" s="44"/>
      <c r="E82" s="42"/>
      <c r="F82" s="42"/>
      <c r="G82" s="45"/>
      <c r="H82" s="45"/>
      <c r="I82" s="45"/>
      <c r="J82" s="46" t="str">
        <f t="shared" si="16"/>
        <v/>
      </c>
      <c r="K82" s="46" t="str">
        <f t="shared" si="17"/>
        <v/>
      </c>
      <c r="L82" s="46" t="str">
        <f t="shared" si="18"/>
        <v/>
      </c>
      <c r="M82" s="47"/>
      <c r="N82" s="47"/>
      <c r="O82" s="46" t="str">
        <f t="shared" si="19"/>
        <v/>
      </c>
      <c r="P82" s="42"/>
      <c r="Q82" s="42"/>
      <c r="R82" s="42"/>
      <c r="S82" s="42"/>
      <c r="T82" s="42"/>
      <c r="U82" s="47"/>
      <c r="V82" s="47"/>
      <c r="W82" s="43"/>
      <c r="X82" s="47"/>
      <c r="Y82" s="42"/>
      <c r="Z82" s="48" t="str">
        <f>IF($J82="","",ROUND($J82*IFERROR(VLOOKUP($P82,Stammdaten!$B$26:$C$34,2,FALSE()),0),0))</f>
        <v/>
      </c>
      <c r="AA82" s="48" t="str">
        <f>IF($O82="","",ROUND($O82*IFERROR(VLOOKUP($Q82,Stammdaten!$E$26:$F$32,2,FALSE()),0),0))</f>
        <v/>
      </c>
      <c r="AB82" s="48" t="str">
        <f>IF($J82="","",ROUND($J82*IFERROR(VLOOKUP($R82,Stammdaten!$H$26:$I$31,2,FALSE()),0),0))</f>
        <v/>
      </c>
      <c r="AC82" s="49" t="str">
        <f t="shared" si="20"/>
        <v/>
      </c>
      <c r="AD82" s="50" t="str">
        <f t="shared" si="21"/>
        <v/>
      </c>
      <c r="AE82" s="43"/>
      <c r="AF82" s="51"/>
      <c r="AG82" s="42"/>
      <c r="AH82" s="52" t="str">
        <f t="shared" ca="1" si="22"/>
        <v/>
      </c>
      <c r="AI82" s="53" t="str">
        <f t="shared" si="23"/>
        <v/>
      </c>
      <c r="AJ82" s="44"/>
    </row>
    <row r="83" spans="1:36" ht="18" customHeight="1" x14ac:dyDescent="0.2">
      <c r="A83" s="41"/>
      <c r="B83" s="42"/>
      <c r="C83" s="43"/>
      <c r="D83" s="44"/>
      <c r="E83" s="42"/>
      <c r="F83" s="42"/>
      <c r="G83" s="45"/>
      <c r="H83" s="45"/>
      <c r="I83" s="45"/>
      <c r="J83" s="46" t="str">
        <f t="shared" si="16"/>
        <v/>
      </c>
      <c r="K83" s="46" t="str">
        <f t="shared" si="17"/>
        <v/>
      </c>
      <c r="L83" s="46" t="str">
        <f t="shared" si="18"/>
        <v/>
      </c>
      <c r="M83" s="47"/>
      <c r="N83" s="47"/>
      <c r="O83" s="46" t="str">
        <f t="shared" si="19"/>
        <v/>
      </c>
      <c r="P83" s="42"/>
      <c r="Q83" s="42"/>
      <c r="R83" s="42"/>
      <c r="S83" s="42"/>
      <c r="T83" s="42"/>
      <c r="U83" s="47"/>
      <c r="V83" s="47"/>
      <c r="W83" s="43"/>
      <c r="X83" s="47"/>
      <c r="Y83" s="42"/>
      <c r="Z83" s="48" t="str">
        <f>IF($J83="","",ROUND($J83*IFERROR(VLOOKUP($P83,Stammdaten!$B$26:$C$34,2,FALSE()),0),0))</f>
        <v/>
      </c>
      <c r="AA83" s="48" t="str">
        <f>IF($O83="","",ROUND($O83*IFERROR(VLOOKUP($Q83,Stammdaten!$E$26:$F$32,2,FALSE()),0),0))</f>
        <v/>
      </c>
      <c r="AB83" s="48" t="str">
        <f>IF($J83="","",ROUND($J83*IFERROR(VLOOKUP($R83,Stammdaten!$H$26:$I$31,2,FALSE()),0),0))</f>
        <v/>
      </c>
      <c r="AC83" s="49" t="str">
        <f t="shared" si="20"/>
        <v/>
      </c>
      <c r="AD83" s="50" t="str">
        <f t="shared" si="21"/>
        <v/>
      </c>
      <c r="AE83" s="43"/>
      <c r="AF83" s="51"/>
      <c r="AG83" s="42"/>
      <c r="AH83" s="52" t="str">
        <f t="shared" ca="1" si="22"/>
        <v/>
      </c>
      <c r="AI83" s="53" t="str">
        <f t="shared" si="23"/>
        <v/>
      </c>
      <c r="AJ83" s="44"/>
    </row>
    <row r="84" spans="1:36" ht="18" customHeight="1" x14ac:dyDescent="0.2">
      <c r="A84" s="41"/>
      <c r="B84" s="42"/>
      <c r="C84" s="43"/>
      <c r="D84" s="44"/>
      <c r="E84" s="42"/>
      <c r="F84" s="42"/>
      <c r="G84" s="45"/>
      <c r="H84" s="45"/>
      <c r="I84" s="45"/>
      <c r="J84" s="46" t="str">
        <f t="shared" si="16"/>
        <v/>
      </c>
      <c r="K84" s="46" t="str">
        <f t="shared" si="17"/>
        <v/>
      </c>
      <c r="L84" s="46" t="str">
        <f t="shared" si="18"/>
        <v/>
      </c>
      <c r="M84" s="47"/>
      <c r="N84" s="47"/>
      <c r="O84" s="46" t="str">
        <f t="shared" si="19"/>
        <v/>
      </c>
      <c r="P84" s="42"/>
      <c r="Q84" s="42"/>
      <c r="R84" s="42"/>
      <c r="S84" s="42"/>
      <c r="T84" s="42"/>
      <c r="U84" s="47"/>
      <c r="V84" s="47"/>
      <c r="W84" s="43"/>
      <c r="X84" s="47"/>
      <c r="Y84" s="42"/>
      <c r="Z84" s="48" t="str">
        <f>IF($J84="","",ROUND($J84*IFERROR(VLOOKUP($P84,Stammdaten!$B$26:$C$34,2,FALSE()),0),0))</f>
        <v/>
      </c>
      <c r="AA84" s="48" t="str">
        <f>IF($O84="","",ROUND($O84*IFERROR(VLOOKUP($Q84,Stammdaten!$E$26:$F$32,2,FALSE()),0),0))</f>
        <v/>
      </c>
      <c r="AB84" s="48" t="str">
        <f>IF($J84="","",ROUND($J84*IFERROR(VLOOKUP($R84,Stammdaten!$H$26:$I$31,2,FALSE()),0),0))</f>
        <v/>
      </c>
      <c r="AC84" s="49" t="str">
        <f t="shared" si="20"/>
        <v/>
      </c>
      <c r="AD84" s="50" t="str">
        <f t="shared" si="21"/>
        <v/>
      </c>
      <c r="AE84" s="43"/>
      <c r="AF84" s="51"/>
      <c r="AG84" s="42"/>
      <c r="AH84" s="52" t="str">
        <f t="shared" ca="1" si="22"/>
        <v/>
      </c>
      <c r="AI84" s="53" t="str">
        <f t="shared" si="23"/>
        <v/>
      </c>
      <c r="AJ84" s="44"/>
    </row>
    <row r="85" spans="1:36" ht="18" customHeight="1" x14ac:dyDescent="0.2">
      <c r="A85" s="41"/>
      <c r="B85" s="42"/>
      <c r="C85" s="43"/>
      <c r="D85" s="44"/>
      <c r="E85" s="42"/>
      <c r="F85" s="42"/>
      <c r="G85" s="45"/>
      <c r="H85" s="45"/>
      <c r="I85" s="45"/>
      <c r="J85" s="46" t="str">
        <f t="shared" si="16"/>
        <v/>
      </c>
      <c r="K85" s="46" t="str">
        <f t="shared" si="17"/>
        <v/>
      </c>
      <c r="L85" s="46" t="str">
        <f t="shared" si="18"/>
        <v/>
      </c>
      <c r="M85" s="47"/>
      <c r="N85" s="47"/>
      <c r="O85" s="46" t="str">
        <f t="shared" si="19"/>
        <v/>
      </c>
      <c r="P85" s="42"/>
      <c r="Q85" s="42"/>
      <c r="R85" s="42"/>
      <c r="S85" s="42"/>
      <c r="T85" s="42"/>
      <c r="U85" s="47"/>
      <c r="V85" s="47"/>
      <c r="W85" s="43"/>
      <c r="X85" s="47"/>
      <c r="Y85" s="42"/>
      <c r="Z85" s="48" t="str">
        <f>IF($J85="","",ROUND($J85*IFERROR(VLOOKUP($P85,Stammdaten!$B$26:$C$34,2,FALSE()),0),0))</f>
        <v/>
      </c>
      <c r="AA85" s="48" t="str">
        <f>IF($O85="","",ROUND($O85*IFERROR(VLOOKUP($Q85,Stammdaten!$E$26:$F$32,2,FALSE()),0),0))</f>
        <v/>
      </c>
      <c r="AB85" s="48" t="str">
        <f>IF($J85="","",ROUND($J85*IFERROR(VLOOKUP($R85,Stammdaten!$H$26:$I$31,2,FALSE()),0),0))</f>
        <v/>
      </c>
      <c r="AC85" s="49" t="str">
        <f t="shared" si="20"/>
        <v/>
      </c>
      <c r="AD85" s="50" t="str">
        <f t="shared" si="21"/>
        <v/>
      </c>
      <c r="AE85" s="43"/>
      <c r="AF85" s="51"/>
      <c r="AG85" s="42"/>
      <c r="AH85" s="52" t="str">
        <f t="shared" ca="1" si="22"/>
        <v/>
      </c>
      <c r="AI85" s="53" t="str">
        <f t="shared" si="23"/>
        <v/>
      </c>
      <c r="AJ85" s="44"/>
    </row>
    <row r="86" spans="1:36" ht="21.75" customHeight="1" x14ac:dyDescent="0.25">
      <c r="A86" s="78" t="s">
        <v>266</v>
      </c>
      <c r="B86" s="78"/>
      <c r="C86" s="78"/>
      <c r="D86" s="78"/>
      <c r="E86" s="78"/>
      <c r="F86" s="78"/>
      <c r="G86" s="54"/>
      <c r="H86" s="54"/>
      <c r="I86" s="54"/>
      <c r="J86" s="55">
        <f>SUM(J6:J85)</f>
        <v>885.98</v>
      </c>
      <c r="K86" s="54"/>
      <c r="L86" s="55">
        <f>SUM(L6:L85)</f>
        <v>2624.37</v>
      </c>
      <c r="M86" s="56">
        <f>SUM(M6:M85)</f>
        <v>51</v>
      </c>
      <c r="N86" s="56">
        <f>SUM(N6:N85)</f>
        <v>54</v>
      </c>
      <c r="O86" s="55">
        <f>SUM(O6:O85)</f>
        <v>1608.8600000000001</v>
      </c>
      <c r="P86" s="54"/>
      <c r="Q86" s="54"/>
      <c r="R86" s="54"/>
      <c r="S86" s="54"/>
      <c r="T86" s="54"/>
      <c r="U86" s="56">
        <f>SUM(U6:U85)</f>
        <v>217</v>
      </c>
      <c r="V86" s="56">
        <f>SUM(V6:V85)</f>
        <v>135</v>
      </c>
      <c r="W86" s="54"/>
      <c r="X86" s="56">
        <f>SUM(X6:X85)</f>
        <v>78</v>
      </c>
      <c r="Y86" s="54"/>
      <c r="Z86" s="57">
        <f>SUM(Z6:Z85)</f>
        <v>52969</v>
      </c>
      <c r="AA86" s="57">
        <f>SUM(AA6:AA85)</f>
        <v>76420</v>
      </c>
      <c r="AB86" s="57">
        <f>SUM(AB6:AB85)</f>
        <v>45702</v>
      </c>
      <c r="AC86" s="57">
        <f>SUM(AC6:AC85)</f>
        <v>175091</v>
      </c>
      <c r="AD86" s="58">
        <f>IFERROR(ROUND(SUM(AC6:AC85)/SUM(J6:J85),2),"")</f>
        <v>197.62</v>
      </c>
      <c r="AE86" s="54"/>
      <c r="AF86" s="54"/>
      <c r="AG86" s="54"/>
      <c r="AH86" s="54"/>
      <c r="AI86" s="59">
        <f>IFERROR(ROUND(AVERAGE(AI6:AI85),2),"")</f>
        <v>1</v>
      </c>
      <c r="AJ86" s="54"/>
    </row>
  </sheetData>
  <autoFilter ref="A5:AJ85" xr:uid="{00000000-0009-0000-0000-000001000000}"/>
  <mergeCells count="15">
    <mergeCell ref="AE4:AJ4"/>
    <mergeCell ref="A86:F86"/>
    <mergeCell ref="A4:F4"/>
    <mergeCell ref="G4:O4"/>
    <mergeCell ref="P4:R4"/>
    <mergeCell ref="S4:X4"/>
    <mergeCell ref="Y4:AD4"/>
    <mergeCell ref="A1:D1"/>
    <mergeCell ref="E1:J1"/>
    <mergeCell ref="AE1:AJ1"/>
    <mergeCell ref="A2:AJ2"/>
    <mergeCell ref="A3:B3"/>
    <mergeCell ref="G3:I3"/>
    <mergeCell ref="J3:L3"/>
    <mergeCell ref="M3:R3"/>
  </mergeCells>
  <conditionalFormatting sqref="A6:I85">
    <cfRule type="expression" dxfId="21" priority="15">
      <formula>AND($D6&lt;&gt;"",A6="")</formula>
    </cfRule>
  </conditionalFormatting>
  <conditionalFormatting sqref="J6:J85">
    <cfRule type="colorScale" priority="13">
      <colorScale>
        <cfvo type="min"/>
        <cfvo type="max"/>
        <color rgb="FFFFFFFF"/>
        <color rgb="FFE7C6AF"/>
      </colorScale>
    </cfRule>
  </conditionalFormatting>
  <conditionalFormatting sqref="P6:R85">
    <cfRule type="expression" dxfId="20" priority="16">
      <formula>AND($D6&lt;&gt;"",P6="")</formula>
    </cfRule>
  </conditionalFormatting>
  <conditionalFormatting sqref="AC6:AC85">
    <cfRule type="colorScale" priority="14">
      <colorScale>
        <cfvo type="min"/>
        <cfvo type="max"/>
        <color rgb="FFFFFFFF"/>
        <color rgb="FFD9E2ED"/>
      </colorScale>
    </cfRule>
  </conditionalFormatting>
  <conditionalFormatting sqref="AE6:AE85">
    <cfRule type="cellIs" dxfId="19" priority="7" operator="equal">
      <formula>"Abgenommen"</formula>
    </cfRule>
    <cfRule type="cellIs" dxfId="18" priority="8" operator="equal">
      <formula>"In Ausführung"</formula>
    </cfRule>
    <cfRule type="cellIs" dxfId="17" priority="9" operator="equal">
      <formula>"Freigegeben"</formula>
    </cfRule>
    <cfRule type="cellIs" dxfId="16" priority="10" operator="equal">
      <formula>"In Planung"</formula>
    </cfRule>
    <cfRule type="cellIs" dxfId="15" priority="11" operator="equal">
      <formula>"Zurückgestellt"</formula>
    </cfRule>
  </conditionalFormatting>
  <conditionalFormatting sqref="AH6:AH85">
    <cfRule type="cellIs" dxfId="14" priority="2" operator="equal">
      <formula>"Überfällig"</formula>
    </cfRule>
    <cfRule type="cellIs" dxfId="13" priority="3" operator="equal">
      <formula>"Fällig ≤ 30 Tage"</formula>
    </cfRule>
    <cfRule type="cellIs" dxfId="12" priority="4" operator="equal">
      <formula>"Im Plan"</formula>
    </cfRule>
    <cfRule type="cellIs" dxfId="11" priority="5" operator="equal">
      <formula>"Abgeschlossen"</formula>
    </cfRule>
    <cfRule type="cellIs" dxfId="10" priority="6" operator="equal">
      <formula>"Kein Termin"</formula>
    </cfRule>
  </conditionalFormatting>
  <conditionalFormatting sqref="AI6:AI85">
    <cfRule type="dataBar" priority="12">
      <dataBar>
        <cfvo type="num" val="0"/>
        <cfvo type="num" val="1"/>
        <color rgb="FFB0603A"/>
      </dataBar>
      <extLst>
        <ext xmlns:x14="http://schemas.microsoft.com/office/spreadsheetml/2009/9/main" uri="{B025F937-C7B1-47D3-B67F-A62EFF666E3E}">
          <x14:id>{6EEC1480-CBC4-4E6D-8967-5DA850D633EE}</x14:id>
        </ext>
      </extLst>
    </cfRule>
  </conditionalFormatting>
  <dataValidations count="3">
    <dataValidation type="decimal" allowBlank="1" errorTitle="Ungültiges Maß" error="Bitte ein Maß zwischen 0 und 500 m eingeben." sqref="G6:I85" xr:uid="{00000000-0002-0000-0100-00000D000000}">
      <formula1>0</formula1>
      <formula2>500</formula2>
    </dataValidation>
    <dataValidation type="whole" allowBlank="1" errorTitle="Ungültige Anzahl" error="Bitte eine ganze Zahl zwischen 0 und 999 eingeben." sqref="M6:N85 U6:V85 X6:X85" xr:uid="{00000000-0002-0000-0100-00000E000000}">
      <formula1>0</formula1>
      <formula2>999</formula2>
    </dataValidation>
    <dataValidation type="date" allowBlank="1" errorTitle="Ungültiges Datum" error="Bitte ein Datum im Format TT.MM.JJJJ eingeben." sqref="AF6:AF85" xr:uid="{00000000-0002-0000-0100-00000F000000}">
      <formula1>DATE(2020,1,1)</formula1>
      <formula2>DATE(2040,12,31)</formula2>
    </dataValidation>
  </dataValidations>
  <pageMargins left="0.75" right="0.75" top="1" bottom="1" header="0.511811023622047" footer="0.511811023622047"/>
  <pageSetup paperSize="9" fitToHeight="0" orientation="landscape" horizontalDpi="300" verticalDpi="300"/>
  <legacyDrawing r:id="rId1"/>
  <extLst>
    <ext xmlns:x14="http://schemas.microsoft.com/office/spreadsheetml/2009/9/main" uri="{78C0D931-6437-407d-A8EE-F0AAD7539E65}">
      <x14:conditionalFormattings>
        <x14:conditionalFormatting xmlns:xm="http://schemas.microsoft.com/office/excel/2006/main">
          <x14:cfRule type="dataBar" id="{6EEC1480-CBC4-4E6D-8967-5DA850D633EE}">
            <x14:dataBar axisPosition="none">
              <x14:cfvo type="num">
                <xm:f>0</xm:f>
              </x14:cfvo>
              <x14:cfvo type="num">
                <xm:f>1</xm:f>
              </x14:cfvo>
              <x14:negativeFillColor rgb="FFB0603A"/>
            </x14:dataBar>
          </x14:cfRule>
          <xm:sqref>AI6:AI85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errorTitle="Ungültige Eingabe" error="Bitte einen Wert aus der Liste wählen. Neue Werte können im Blatt „Stammdaten“ ergänzt werden." promptTitle="Gebäude" prompt="Auswahl aus der Liste „Gebäude“ (Blatt Stammdaten)." xr:uid="{00000000-0002-0000-0100-000000000000}">
          <x14:formula1>
            <xm:f>Stammdaten!$B$8:$B$10</xm:f>
          </x14:formula1>
          <x14:formula2>
            <xm:f>0</xm:f>
          </x14:formula2>
          <xm:sqref>B6:B85</xm:sqref>
        </x14:dataValidation>
        <x14:dataValidation type="list" allowBlank="1" errorTitle="Ungültige Eingabe" error="Bitte einen Wert aus der Liste wählen. Neue Werte können im Blatt „Stammdaten“ ergänzt werden." promptTitle="Geschoss" prompt="Auswahl aus der Liste „Geschoss“ (Blatt Stammdaten)." xr:uid="{00000000-0002-0000-0100-000001000000}">
          <x14:formula1>
            <xm:f>Stammdaten!$C$8:$C$13</xm:f>
          </x14:formula1>
          <x14:formula2>
            <xm:f>0</xm:f>
          </x14:formula2>
          <xm:sqref>C6:C85</xm:sqref>
        </x14:dataValidation>
        <x14:dataValidation type="list" allowBlank="1" errorTitle="Ungültige Eingabe" error="Bitte einen Wert aus der Liste wählen. Neue Werte können im Blatt „Stammdaten“ ergänzt werden." promptTitle="Nutzungsart" prompt="Auswahl aus der Liste „Nutzungsart“ (Blatt Stammdaten)." xr:uid="{00000000-0002-0000-0100-000002000000}">
          <x14:formula1>
            <xm:f>Stammdaten!$D$8:$D$21</xm:f>
          </x14:formula1>
          <x14:formula2>
            <xm:f>0</xm:f>
          </x14:formula2>
          <xm:sqref>E6:E85</xm:sqref>
        </x14:dataValidation>
        <x14:dataValidation type="list" allowBlank="1" errorTitle="Ungültige Eingabe" error="Bitte einen Wert aus der Liste wählen. Neue Werte können im Blatt „Stammdaten“ ergänzt werden." promptTitle="Nutzungseinheit" prompt="Auswahl aus der Liste „Nutzungseinheit“ (Blatt Stammdaten)." xr:uid="{00000000-0002-0000-0100-000003000000}">
          <x14:formula1>
            <xm:f>Stammdaten!$E$8:$E$13</xm:f>
          </x14:formula1>
          <x14:formula2>
            <xm:f>0</xm:f>
          </x14:formula2>
          <xm:sqref>F6:F85</xm:sqref>
        </x14:dataValidation>
        <x14:dataValidation type="list" allowBlank="1" errorTitle="Ungültige Eingabe" error="Bitte einen Wert aus der Liste wählen. Neue Werte können im Blatt „Stammdaten“ ergänzt werden." promptTitle="Bodenbelag" prompt="Auswahl aus der Liste „Bodenbelag“ (Blatt Stammdaten)." xr:uid="{00000000-0002-0000-0100-000004000000}">
          <x14:formula1>
            <xm:f>Stammdaten!$B$26:$B$34</xm:f>
          </x14:formula1>
          <x14:formula2>
            <xm:f>0</xm:f>
          </x14:formula2>
          <xm:sqref>P6:P85</xm:sqref>
        </x14:dataValidation>
        <x14:dataValidation type="list" allowBlank="1" errorTitle="Ungültige Eingabe" error="Bitte einen Wert aus der Liste wählen. Neue Werte können im Blatt „Stammdaten“ ergänzt werden." promptTitle="Wandbelag / Oberfläche" prompt="Auswahl aus der Liste „Wandbelag / Oberfläche“ (Blatt Stammdaten)." xr:uid="{00000000-0002-0000-0100-000005000000}">
          <x14:formula1>
            <xm:f>Stammdaten!$E$26:$E$32</xm:f>
          </x14:formula1>
          <x14:formula2>
            <xm:f>0</xm:f>
          </x14:formula2>
          <xm:sqref>Q6:Q85</xm:sqref>
        </x14:dataValidation>
        <x14:dataValidation type="list" allowBlank="1" errorTitle="Ungültige Eingabe" error="Bitte einen Wert aus der Liste wählen. Neue Werte können im Blatt „Stammdaten“ ergänzt werden." promptTitle="Deckenausbildung" prompt="Auswahl aus der Liste „Deckenausbildung“ (Blatt Stammdaten)." xr:uid="{00000000-0002-0000-0100-000006000000}">
          <x14:formula1>
            <xm:f>Stammdaten!$H$26:$H$31</xm:f>
          </x14:formula1>
          <x14:formula2>
            <xm:f>0</xm:f>
          </x14:formula2>
          <xm:sqref>R6:R85</xm:sqref>
        </x14:dataValidation>
        <x14:dataValidation type="list" allowBlank="1" errorTitle="Ungültige Eingabe" error="Bitte einen Wert aus der Liste wählen. Neue Werte können im Blatt „Stammdaten“ ergänzt werden." promptTitle="Beleuchtung" prompt="Auswahl aus der Liste „Beleuchtung“ (Blatt Stammdaten)." xr:uid="{00000000-0002-0000-0100-000007000000}">
          <x14:formula1>
            <xm:f>Stammdaten!$F$8:$F$13</xm:f>
          </x14:formula1>
          <x14:formula2>
            <xm:f>0</xm:f>
          </x14:formula2>
          <xm:sqref>S6:S85</xm:sqref>
        </x14:dataValidation>
        <x14:dataValidation type="list" allowBlank="1" errorTitle="Ungültige Eingabe" error="Bitte einen Wert aus der Liste wählen. Neue Werte können im Blatt „Stammdaten“ ergänzt werden." promptTitle="Heizung / Lüftung" prompt="Auswahl aus der Liste „Heizung / Lüftung“ (Blatt Stammdaten)." xr:uid="{00000000-0002-0000-0100-000008000000}">
          <x14:formula1>
            <xm:f>Stammdaten!$G$8:$G$14</xm:f>
          </x14:formula1>
          <x14:formula2>
            <xm:f>0</xm:f>
          </x14:formula2>
          <xm:sqref>T6:T85</xm:sqref>
        </x14:dataValidation>
        <x14:dataValidation type="list" allowBlank="1" errorTitle="Ungültige Eingabe" error="Bitte einen Wert aus der Liste wählen. Neue Werte können im Blatt „Stammdaten“ ergänzt werden." promptTitle="Brandschutz" prompt="Auswahl aus der Liste „Brandschutz“ (Blatt Stammdaten)." xr:uid="{00000000-0002-0000-0100-000009000000}">
          <x14:formula1>
            <xm:f>Stammdaten!$H$8:$H$12</xm:f>
          </x14:formula1>
          <x14:formula2>
            <xm:f>0</xm:f>
          </x14:formula2>
          <xm:sqref>W6:W85</xm:sqref>
        </x14:dataValidation>
        <x14:dataValidation type="list" allowBlank="1" errorTitle="Ungültige Eingabe" error="Bitte einen Wert aus der Liste wählen. Neue Werte können im Blatt „Stammdaten“ ergänzt werden." promptTitle="Maßnahme" prompt="Auswahl aus der Liste „Maßnahme“ (Blatt Stammdaten)." xr:uid="{00000000-0002-0000-0100-00000A000000}">
          <x14:formula1>
            <xm:f>Stammdaten!$I$8:$I$12</xm:f>
          </x14:formula1>
          <x14:formula2>
            <xm:f>0</xm:f>
          </x14:formula2>
          <xm:sqref>Y6:Y85</xm:sqref>
        </x14:dataValidation>
        <x14:dataValidation type="list" allowBlank="1" errorTitle="Ungültige Eingabe" error="Bitte einen Wert aus der Liste wählen. Neue Werte können im Blatt „Stammdaten“ ergänzt werden." promptTitle="Status" prompt="Auswahl aus der Liste „Status“ (Blatt Stammdaten)." xr:uid="{00000000-0002-0000-0100-00000B000000}">
          <x14:formula1>
            <xm:f>Stammdaten!$J$8:$J$12</xm:f>
          </x14:formula1>
          <x14:formula2>
            <xm:f>0</xm:f>
          </x14:formula2>
          <xm:sqref>AE6:AE85</xm:sqref>
        </x14:dataValidation>
        <x14:dataValidation type="list" allowBlank="1" errorTitle="Ungültige Eingabe" error="Bitte einen Wert aus der Liste wählen. Neue Werte können im Blatt „Stammdaten“ ergänzt werden." promptTitle="Verantwortlich" prompt="Auswahl aus der Liste „Verantwortlich“ (Blatt Stammdaten)." xr:uid="{00000000-0002-0000-0100-00000C000000}">
          <x14:formula1>
            <xm:f>Stammdaten!$K$8:$K$13</xm:f>
          </x14:formula1>
          <x14:formula2>
            <xm:f>0</xm:f>
          </x14:formula2>
          <xm:sqref>AG6:AG85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B3F5C"/>
    <pageSetUpPr fitToPage="1"/>
  </sheetPr>
  <dimension ref="B1:L43"/>
  <sheetViews>
    <sheetView showGridLines="0" zoomScaleNormal="100" workbookViewId="0">
      <pane ySplit="6" topLeftCell="A7" activePane="bottomLeft" state="frozen"/>
      <selection pane="bottomLeft"/>
    </sheetView>
  </sheetViews>
  <sheetFormatPr baseColWidth="10" defaultColWidth="8.7109375" defaultRowHeight="12.75" x14ac:dyDescent="0.2"/>
  <cols>
    <col min="1" max="1" width="2.42578125" customWidth="1"/>
    <col min="2" max="2" width="24" customWidth="1"/>
    <col min="3" max="4" width="17" customWidth="1"/>
    <col min="5" max="5" width="4" customWidth="1"/>
    <col min="6" max="6" width="24" customWidth="1"/>
    <col min="7" max="8" width="17" customWidth="1"/>
    <col min="9" max="9" width="2.42578125" customWidth="1"/>
    <col min="11" max="11" width="14" customWidth="1"/>
    <col min="12" max="12" width="10" customWidth="1"/>
  </cols>
  <sheetData>
    <row r="1" spans="2:12" ht="6.75" customHeight="1" x14ac:dyDescent="0.25">
      <c r="B1" s="15"/>
      <c r="C1" s="15"/>
      <c r="D1" s="15"/>
      <c r="E1" s="15"/>
      <c r="F1" s="15"/>
      <c r="G1" s="15"/>
      <c r="H1" s="15"/>
      <c r="K1" s="60" t="s">
        <v>267</v>
      </c>
    </row>
    <row r="2" spans="2:12" ht="30" customHeight="1" x14ac:dyDescent="0.2">
      <c r="B2" s="67" t="s">
        <v>268</v>
      </c>
      <c r="C2" s="67"/>
      <c r="D2" s="67"/>
      <c r="E2" s="67"/>
      <c r="F2" s="13" t="str">
        <f>Übersicht!C8</f>
        <v>Musterprojekt – Verwaltungsgebäude</v>
      </c>
      <c r="G2" s="13"/>
      <c r="H2" s="13"/>
      <c r="K2" s="60" t="s">
        <v>269</v>
      </c>
      <c r="L2" s="61">
        <f>IFERROR(MATCH($C$6,Raumbuch!$A$6:$A$85,0),0)</f>
        <v>4</v>
      </c>
    </row>
    <row r="3" spans="2:12" x14ac:dyDescent="0.2">
      <c r="B3" s="70" t="s">
        <v>270</v>
      </c>
      <c r="C3" s="70"/>
      <c r="D3" s="70"/>
      <c r="E3" s="70"/>
      <c r="F3" s="70"/>
      <c r="G3" s="70"/>
      <c r="H3" s="70"/>
    </row>
    <row r="4" spans="2:12" ht="4.5" customHeight="1" x14ac:dyDescent="0.25">
      <c r="B4" s="16"/>
      <c r="C4" s="16"/>
      <c r="D4" s="16"/>
      <c r="E4" s="16"/>
      <c r="F4" s="16"/>
      <c r="G4" s="16"/>
      <c r="H4" s="16"/>
    </row>
    <row r="6" spans="2:12" ht="30" customHeight="1" x14ac:dyDescent="0.2">
      <c r="B6" s="17" t="s">
        <v>271</v>
      </c>
      <c r="C6" s="79" t="s">
        <v>173</v>
      </c>
      <c r="D6" s="79"/>
      <c r="F6" s="80" t="str">
        <f>IF($L$2=0,"⚠  Raum-Nr. nicht gefunden – bitte aus der Liste wählen","Datensatz gefunden – Angaben unten aktuell")</f>
        <v>Datensatz gefunden – Angaben unten aktuell</v>
      </c>
      <c r="G6" s="80"/>
      <c r="H6" s="80"/>
    </row>
    <row r="8" spans="2:12" ht="18.75" customHeight="1" x14ac:dyDescent="0.2">
      <c r="B8" s="81" t="s">
        <v>272</v>
      </c>
      <c r="C8" s="81"/>
      <c r="D8" s="81"/>
      <c r="E8" s="81"/>
      <c r="F8" s="81"/>
      <c r="G8" s="81"/>
      <c r="H8" s="81"/>
    </row>
    <row r="9" spans="2:12" ht="18" customHeight="1" x14ac:dyDescent="0.2">
      <c r="B9" s="62" t="s">
        <v>115</v>
      </c>
      <c r="C9" s="10" t="str">
        <f>IF($L$2=0,"–",IFERROR(IF(INDEX(Raumbuch!A$6:A$85,$L$2)="","–",INDEX(Raumbuch!A$6:A$85,$L$2)),"–"))</f>
        <v>N-EG-01</v>
      </c>
      <c r="D9" s="10"/>
      <c r="F9" s="62" t="s">
        <v>116</v>
      </c>
      <c r="G9" s="10" t="str">
        <f>IF($L$2=0,"–",IFERROR(IF(INDEX(Raumbuch!B$6:B$85,$L$2)="","–",INDEX(Raumbuch!B$6:B$85,$L$2)),"–"))</f>
        <v>Haus Nord</v>
      </c>
      <c r="H9" s="10"/>
    </row>
    <row r="10" spans="2:12" ht="18" customHeight="1" x14ac:dyDescent="0.2">
      <c r="B10" s="62" t="s">
        <v>117</v>
      </c>
      <c r="C10" s="10" t="str">
        <f>IF($L$2=0,"–",IFERROR(IF(INDEX(Raumbuch!D$6:D$85,$L$2)="","–",INDEX(Raumbuch!D$6:D$85,$L$2)),"–"))</f>
        <v>Foyer / Empfang</v>
      </c>
      <c r="D10" s="10"/>
      <c r="F10" s="62" t="s">
        <v>45</v>
      </c>
      <c r="G10" s="10" t="str">
        <f>IF($L$2=0,"–",IFERROR(IF(INDEX(Raumbuch!C$6:C$85,$L$2)="","–",INDEX(Raumbuch!C$6:C$85,$L$2)),"–"))</f>
        <v>EG</v>
      </c>
      <c r="H10" s="10"/>
    </row>
    <row r="11" spans="2:12" ht="18" customHeight="1" x14ac:dyDescent="0.2">
      <c r="B11" s="62" t="s">
        <v>58</v>
      </c>
      <c r="C11" s="10" t="str">
        <f>IF($L$2=0,"–",IFERROR(IF(INDEX(Raumbuch!E$6:E$85,$L$2)="","–",INDEX(Raumbuch!E$6:E$85,$L$2)),"–"))</f>
        <v>Empfang</v>
      </c>
      <c r="D11" s="10"/>
      <c r="F11" s="62" t="s">
        <v>273</v>
      </c>
      <c r="G11" s="10" t="str">
        <f>IF($L$2=0,"–",IFERROR(IF(INDEX(Raumbuch!F$6:F$85,$L$2)="","–",INDEX(Raumbuch!F$6:F$85,$L$2)),"–"))</f>
        <v>Allgemeinfläche</v>
      </c>
      <c r="H11" s="10"/>
    </row>
    <row r="12" spans="2:12" ht="18" customHeight="1" x14ac:dyDescent="0.2">
      <c r="B12" s="62" t="s">
        <v>144</v>
      </c>
      <c r="C12" s="10" t="str">
        <f>IF($L$2=0,"–",IFERROR(IF(INDEX(Raumbuch!AG$6:AG$85,$L$2)="","–",INDEX(Raumbuch!AG$6:AG$85,$L$2)),"–"))</f>
        <v>S. Fiedler</v>
      </c>
      <c r="D12" s="10"/>
      <c r="F12" s="62" t="s">
        <v>74</v>
      </c>
      <c r="G12" s="10" t="str">
        <f>IF($L$2=0,"–",IFERROR(IF(INDEX(Raumbuch!AE$6:AE$85,$L$2)="","–",INDEX(Raumbuch!AE$6:AE$85,$L$2)),"–"))</f>
        <v>In Ausführung</v>
      </c>
      <c r="H12" s="10"/>
    </row>
    <row r="14" spans="2:12" ht="18.75" customHeight="1" x14ac:dyDescent="0.2">
      <c r="B14" s="81" t="s">
        <v>274</v>
      </c>
      <c r="C14" s="81"/>
      <c r="D14" s="81"/>
      <c r="E14" s="81"/>
      <c r="F14" s="81"/>
      <c r="G14" s="81"/>
      <c r="H14" s="81"/>
    </row>
    <row r="15" spans="2:12" ht="18" customHeight="1" x14ac:dyDescent="0.2">
      <c r="B15" s="62" t="s">
        <v>275</v>
      </c>
      <c r="C15" s="82">
        <f>IF($L$2=0,"–",IFERROR(IF(INDEX(Raumbuch!G$6:G$85,$L$2)="","–",INDEX(Raumbuch!G$6:G$85,$L$2)),"–"))</f>
        <v>9.8000000000000007</v>
      </c>
      <c r="D15" s="82"/>
      <c r="F15" s="62" t="s">
        <v>276</v>
      </c>
      <c r="G15" s="82">
        <f>IF($L$2=0,"–",IFERROR(IF(INDEX(Raumbuch!J$6:J$85,$L$2)="","–",INDEX(Raumbuch!J$6:J$85,$L$2)),"–"))</f>
        <v>72.52</v>
      </c>
      <c r="H15" s="82"/>
    </row>
    <row r="16" spans="2:12" ht="18" customHeight="1" x14ac:dyDescent="0.2">
      <c r="B16" s="62" t="s">
        <v>277</v>
      </c>
      <c r="C16" s="82">
        <f>IF($L$2=0,"–",IFERROR(IF(INDEX(Raumbuch!H$6:H$85,$L$2)="","–",INDEX(Raumbuch!H$6:H$85,$L$2)),"–"))</f>
        <v>7.4</v>
      </c>
      <c r="D16" s="82"/>
      <c r="F16" s="62" t="s">
        <v>278</v>
      </c>
      <c r="G16" s="82">
        <f>IF($L$2=0,"–",IFERROR(IF(INDEX(Raumbuch!K$6:K$85,$L$2)="","–",INDEX(Raumbuch!K$6:K$85,$L$2)),"–"))</f>
        <v>34.4</v>
      </c>
      <c r="H16" s="82"/>
    </row>
    <row r="17" spans="2:8" ht="18" customHeight="1" x14ac:dyDescent="0.2">
      <c r="B17" s="62" t="s">
        <v>279</v>
      </c>
      <c r="C17" s="82">
        <f>IF($L$2=0,"–",IFERROR(IF(INDEX(Raumbuch!I$6:I$85,$L$2)="","–",INDEX(Raumbuch!I$6:I$85,$L$2)),"–"))</f>
        <v>3.4</v>
      </c>
      <c r="D17" s="82"/>
      <c r="F17" s="62" t="s">
        <v>280</v>
      </c>
      <c r="G17" s="82">
        <f>IF($L$2=0,"–",IFERROR(IF(INDEX(Raumbuch!L$6:L$85,$L$2)="","–",INDEX(Raumbuch!L$6:L$85,$L$2)),"–"))</f>
        <v>246.57</v>
      </c>
      <c r="H17" s="82"/>
    </row>
    <row r="18" spans="2:8" ht="18" customHeight="1" x14ac:dyDescent="0.2">
      <c r="B18" s="62" t="s">
        <v>281</v>
      </c>
      <c r="C18" s="10" t="str">
        <f>IF($L$2=0,"–",INDEX(Raumbuch!M$6:M$85,$L$2)&amp;" / "&amp;INDEX(Raumbuch!N$6:N$85,$L$2))</f>
        <v>3 / 5</v>
      </c>
      <c r="D18" s="10"/>
      <c r="F18" s="62" t="s">
        <v>282</v>
      </c>
      <c r="G18" s="82">
        <f>IF($L$2=0,"–",IFERROR(IF(INDEX(Raumbuch!O$6:O$85,$L$2)="","–",INDEX(Raumbuch!O$6:O$85,$L$2)),"–"))</f>
        <v>101.96</v>
      </c>
      <c r="H18" s="82"/>
    </row>
    <row r="20" spans="2:8" ht="18.75" customHeight="1" x14ac:dyDescent="0.2">
      <c r="B20" s="81" t="s">
        <v>283</v>
      </c>
      <c r="C20" s="81"/>
      <c r="D20" s="81"/>
      <c r="E20" s="81"/>
      <c r="F20" s="81"/>
      <c r="G20" s="81"/>
      <c r="H20" s="81"/>
    </row>
    <row r="21" spans="2:8" ht="18" customHeight="1" x14ac:dyDescent="0.2">
      <c r="B21" s="62" t="s">
        <v>128</v>
      </c>
      <c r="C21" s="10" t="str">
        <f>IF($L$2=0,"–",IFERROR(IF(INDEX(Raumbuch!P$6:P$85,$L$2)="","–",INDEX(Raumbuch!P$6:P$85,$L$2)),"–"))</f>
        <v>Feinsteinzeug</v>
      </c>
      <c r="D21" s="10"/>
      <c r="F21" s="62" t="s">
        <v>284</v>
      </c>
      <c r="G21" s="83">
        <f>IF($L$2=0,"–",IFERROR(IF(INDEX(Raumbuch!Z$6:Z$85,$L$2)="","–",INDEX(Raumbuch!Z$6:Z$85,$L$2)),"–"))</f>
        <v>6962</v>
      </c>
      <c r="H21" s="83"/>
    </row>
    <row r="22" spans="2:8" ht="18" customHeight="1" x14ac:dyDescent="0.2">
      <c r="B22" s="62" t="s">
        <v>285</v>
      </c>
      <c r="C22" s="10" t="str">
        <f>IF($L$2=0,"–",IFERROR(IF(INDEX(Raumbuch!Q$6:Q$85,$L$2)="","–",INDEX(Raumbuch!Q$6:Q$85,$L$2)),"–"))</f>
        <v>Glasvlies + Anstrich</v>
      </c>
      <c r="D22" s="10"/>
      <c r="F22" s="62" t="s">
        <v>286</v>
      </c>
      <c r="G22" s="83">
        <f>IF($L$2=0,"–",IFERROR(IF(INDEX(Raumbuch!AA$6:AA$85,$L$2)="","–",INDEX(Raumbuch!AA$6:AA$85,$L$2)),"–"))</f>
        <v>2753</v>
      </c>
      <c r="H22" s="83"/>
    </row>
    <row r="23" spans="2:8" ht="18" customHeight="1" x14ac:dyDescent="0.2">
      <c r="B23" s="62" t="s">
        <v>130</v>
      </c>
      <c r="C23" s="10" t="str">
        <f>IF($L$2=0,"–",IFERROR(IF(INDEX(Raumbuch!R$6:R$85,$L$2)="","–",INDEX(Raumbuch!R$6:R$85,$L$2)),"–"))</f>
        <v>Akustik-Lochdecke</v>
      </c>
      <c r="D23" s="10"/>
      <c r="F23" s="62" t="s">
        <v>287</v>
      </c>
      <c r="G23" s="83">
        <f>IF($L$2=0,"–",IFERROR(IF(INDEX(Raumbuch!AB$6:AB$85,$L$2)="","–",INDEX(Raumbuch!AB$6:AB$85,$L$2)),"–"))</f>
        <v>6817</v>
      </c>
      <c r="H23" s="83"/>
    </row>
    <row r="25" spans="2:8" ht="18.75" customHeight="1" x14ac:dyDescent="0.2">
      <c r="B25" s="81" t="s">
        <v>288</v>
      </c>
      <c r="C25" s="81"/>
      <c r="D25" s="81"/>
      <c r="E25" s="81"/>
      <c r="F25" s="81"/>
      <c r="G25" s="81"/>
      <c r="H25" s="81"/>
    </row>
    <row r="26" spans="2:8" ht="18" customHeight="1" x14ac:dyDescent="0.2">
      <c r="B26" s="62" t="s">
        <v>131</v>
      </c>
      <c r="C26" s="10" t="str">
        <f>IF($L$2=0,"–",IFERROR(IF(INDEX(Raumbuch!S$6:S$85,$L$2)="","–",INDEX(Raumbuch!S$6:S$85,$L$2)),"–"))</f>
        <v>LED-Einbaustrahler</v>
      </c>
      <c r="D26" s="10"/>
      <c r="F26" s="62" t="s">
        <v>289</v>
      </c>
      <c r="G26" s="84">
        <f>IF($L$2=0,"–",IFERROR(IF(INDEX(Raumbuch!U$6:U$85,$L$2)="","–",INDEX(Raumbuch!U$6:U$85,$L$2)),"–"))</f>
        <v>10</v>
      </c>
      <c r="H26" s="84"/>
    </row>
    <row r="27" spans="2:8" ht="18" customHeight="1" x14ac:dyDescent="0.2">
      <c r="B27" s="62" t="s">
        <v>290</v>
      </c>
      <c r="C27" s="10" t="str">
        <f>IF($L$2=0,"–",IFERROR(IF(INDEX(Raumbuch!T$6:T$85,$L$2)="","–",INDEX(Raumbuch!T$6:T$85,$L$2)),"–"))</f>
        <v>Fußbodenheizung</v>
      </c>
      <c r="D27" s="10"/>
      <c r="F27" s="62" t="s">
        <v>291</v>
      </c>
      <c r="G27" s="84">
        <f>IF($L$2=0,"–",IFERROR(IF(INDEX(Raumbuch!V$6:V$85,$L$2)="","–",INDEX(Raumbuch!V$6:V$85,$L$2)),"–"))</f>
        <v>4</v>
      </c>
      <c r="H27" s="84"/>
    </row>
    <row r="28" spans="2:8" ht="18" customHeight="1" x14ac:dyDescent="0.2">
      <c r="B28" s="62" t="s">
        <v>292</v>
      </c>
      <c r="C28" s="10" t="str">
        <f>IF($L$2=0,"–",IFERROR(IF(INDEX(Raumbuch!W$6:W$85,$L$2)="","–",INDEX(Raumbuch!W$6:W$85,$L$2)),"–"))</f>
        <v>Rettungsweg</v>
      </c>
      <c r="D28" s="10"/>
      <c r="F28" s="62" t="s">
        <v>293</v>
      </c>
      <c r="G28" s="84">
        <f>IF($L$2=0,"–",IFERROR(IF(INDEX(Raumbuch!X$6:X$85,$L$2)="","–",INDEX(Raumbuch!X$6:X$85,$L$2)),"–"))</f>
        <v>2</v>
      </c>
      <c r="H28" s="84"/>
    </row>
    <row r="30" spans="2:8" ht="18.75" customHeight="1" x14ac:dyDescent="0.2">
      <c r="B30" s="81" t="s">
        <v>294</v>
      </c>
      <c r="C30" s="81"/>
      <c r="D30" s="81"/>
      <c r="E30" s="81"/>
      <c r="F30" s="81"/>
      <c r="G30" s="81"/>
      <c r="H30" s="81"/>
    </row>
    <row r="31" spans="2:8" ht="18" customHeight="1" x14ac:dyDescent="0.2">
      <c r="B31" s="62" t="s">
        <v>137</v>
      </c>
      <c r="C31" s="10" t="str">
        <f>IF($L$2=0,"–",IFERROR(IF(INDEX(Raumbuch!Y$6:Y$85,$L$2)="","–",INDEX(Raumbuch!Y$6:Y$85,$L$2)),"–"))</f>
        <v>Neubau/Ausbau</v>
      </c>
      <c r="D31" s="10"/>
      <c r="F31" s="62" t="s">
        <v>295</v>
      </c>
      <c r="G31" s="83">
        <f>IF($L$2=0,"–",IFERROR(IF(INDEX(Raumbuch!AC$6:AC$85,$L$2)="","–",INDEX(Raumbuch!AC$6:AC$85,$L$2)),"–"))</f>
        <v>16532</v>
      </c>
      <c r="H31" s="83"/>
    </row>
    <row r="32" spans="2:8" ht="18" customHeight="1" x14ac:dyDescent="0.2">
      <c r="B32" s="62" t="s">
        <v>296</v>
      </c>
      <c r="C32" s="9">
        <f>IF($L$2=0,"–",IFERROR(IF(INDEX(Raumbuch!AF$6:AF$85,$L$2)="","–",INDEX(Raumbuch!AF$6:AF$85,$L$2)),"–"))</f>
        <v>46311</v>
      </c>
      <c r="D32" s="9"/>
      <c r="F32" s="62" t="s">
        <v>297</v>
      </c>
      <c r="G32" s="85">
        <f>IF($L$2=0,"–",IFERROR(IF(INDEX(Raumbuch!AD$6:AD$85,$L$2)="","–",INDEX(Raumbuch!AD$6:AD$85,$L$2)),"–"))</f>
        <v>227.96</v>
      </c>
      <c r="H32" s="85"/>
    </row>
    <row r="33" spans="2:8" ht="18" customHeight="1" x14ac:dyDescent="0.2">
      <c r="B33" s="62" t="s">
        <v>145</v>
      </c>
      <c r="C33" s="10" t="str">
        <f ca="1">IF($L$2=0,"–",IFERROR(IF(INDEX(Raumbuch!AH$6:AH$85,$L$2)="","–",INDEX(Raumbuch!AH$6:AH$85,$L$2)),"–"))</f>
        <v>Im Plan</v>
      </c>
      <c r="D33" s="10"/>
      <c r="F33" s="62" t="s">
        <v>298</v>
      </c>
      <c r="G33" s="86">
        <f>IF($L$2=0,"–",IFERROR(IF(INDEX(Raumbuch!AI$6:AI$85,$L$2)="","–",INDEX(Raumbuch!AI$6:AI$85,$L$2)),"–"))</f>
        <v>1</v>
      </c>
      <c r="H33" s="86"/>
    </row>
    <row r="35" spans="2:8" ht="18.75" customHeight="1" x14ac:dyDescent="0.2">
      <c r="B35" s="81" t="s">
        <v>299</v>
      </c>
      <c r="C35" s="81"/>
      <c r="D35" s="81"/>
      <c r="E35" s="81"/>
      <c r="F35" s="81"/>
      <c r="G35" s="81"/>
      <c r="H35" s="81"/>
    </row>
    <row r="36" spans="2:8" ht="16.5" customHeight="1" x14ac:dyDescent="0.2">
      <c r="B36" s="87" t="str">
        <f>IF($L$2=0,"–",IFERROR(IF(INDEX(Raumbuch!AJ$6:AJ$85,$L$2)="","–",INDEX(Raumbuch!AJ$6:AJ$85,$L$2)),"–"))</f>
        <v>Barrierefreier Zugang, Empfangstresen bauseits</v>
      </c>
      <c r="C36" s="87"/>
      <c r="D36" s="87"/>
      <c r="E36" s="87"/>
      <c r="F36" s="87"/>
      <c r="G36" s="87"/>
      <c r="H36" s="87"/>
    </row>
    <row r="37" spans="2:8" ht="16.5" customHeight="1" x14ac:dyDescent="0.2">
      <c r="B37" s="87"/>
      <c r="C37" s="87"/>
      <c r="D37" s="87"/>
      <c r="E37" s="87"/>
      <c r="F37" s="87"/>
      <c r="G37" s="87"/>
      <c r="H37" s="87"/>
    </row>
    <row r="38" spans="2:8" ht="16.5" customHeight="1" x14ac:dyDescent="0.2">
      <c r="B38" s="87"/>
      <c r="C38" s="87"/>
      <c r="D38" s="87"/>
      <c r="E38" s="87"/>
      <c r="F38" s="87"/>
      <c r="G38" s="87"/>
      <c r="H38" s="87"/>
    </row>
    <row r="39" spans="2:8" ht="16.5" customHeight="1" x14ac:dyDescent="0.2">
      <c r="B39" s="87"/>
      <c r="C39" s="87"/>
      <c r="D39" s="87"/>
      <c r="E39" s="87"/>
      <c r="F39" s="87"/>
      <c r="G39" s="87"/>
      <c r="H39" s="87"/>
    </row>
    <row r="41" spans="2:8" ht="18.75" customHeight="1" x14ac:dyDescent="0.2">
      <c r="B41" s="81" t="s">
        <v>300</v>
      </c>
      <c r="C41" s="81"/>
      <c r="D41" s="81"/>
      <c r="E41" s="81"/>
      <c r="F41" s="81"/>
      <c r="G41" s="81"/>
      <c r="H41" s="81"/>
    </row>
    <row r="42" spans="2:8" ht="30" customHeight="1" x14ac:dyDescent="0.25">
      <c r="B42" s="88"/>
      <c r="C42" s="88"/>
      <c r="D42" s="88"/>
      <c r="E42" s="88"/>
      <c r="G42" s="88"/>
      <c r="H42" s="88"/>
    </row>
    <row r="43" spans="2:8" ht="15.75" customHeight="1" x14ac:dyDescent="0.2">
      <c r="B43" s="89" t="s">
        <v>301</v>
      </c>
      <c r="C43" s="89"/>
      <c r="D43" s="89" t="s">
        <v>302</v>
      </c>
      <c r="E43" s="89"/>
      <c r="G43" s="89" t="s">
        <v>303</v>
      </c>
      <c r="H43" s="89"/>
    </row>
  </sheetData>
  <mergeCells count="53">
    <mergeCell ref="B42:C42"/>
    <mergeCell ref="D42:E42"/>
    <mergeCell ref="G42:H42"/>
    <mergeCell ref="B43:C43"/>
    <mergeCell ref="D43:E43"/>
    <mergeCell ref="G43:H43"/>
    <mergeCell ref="C33:D33"/>
    <mergeCell ref="G33:H33"/>
    <mergeCell ref="B35:H35"/>
    <mergeCell ref="B36:H39"/>
    <mergeCell ref="B41:H41"/>
    <mergeCell ref="B30:H30"/>
    <mergeCell ref="C31:D31"/>
    <mergeCell ref="G31:H31"/>
    <mergeCell ref="C32:D32"/>
    <mergeCell ref="G32:H32"/>
    <mergeCell ref="C26:D26"/>
    <mergeCell ref="G26:H26"/>
    <mergeCell ref="C27:D27"/>
    <mergeCell ref="G27:H27"/>
    <mergeCell ref="C28:D28"/>
    <mergeCell ref="G28:H28"/>
    <mergeCell ref="C22:D22"/>
    <mergeCell ref="G22:H22"/>
    <mergeCell ref="C23:D23"/>
    <mergeCell ref="G23:H23"/>
    <mergeCell ref="B25:H25"/>
    <mergeCell ref="C18:D18"/>
    <mergeCell ref="G18:H18"/>
    <mergeCell ref="B20:H20"/>
    <mergeCell ref="C21:D21"/>
    <mergeCell ref="G21:H21"/>
    <mergeCell ref="C15:D15"/>
    <mergeCell ref="G15:H15"/>
    <mergeCell ref="C16:D16"/>
    <mergeCell ref="G16:H16"/>
    <mergeCell ref="C17:D17"/>
    <mergeCell ref="G17:H17"/>
    <mergeCell ref="C11:D11"/>
    <mergeCell ref="G11:H11"/>
    <mergeCell ref="C12:D12"/>
    <mergeCell ref="G12:H12"/>
    <mergeCell ref="B14:H14"/>
    <mergeCell ref="B8:H8"/>
    <mergeCell ref="C9:D9"/>
    <mergeCell ref="G9:H9"/>
    <mergeCell ref="C10:D10"/>
    <mergeCell ref="G10:H10"/>
    <mergeCell ref="B2:E2"/>
    <mergeCell ref="F2:H2"/>
    <mergeCell ref="B3:H3"/>
    <mergeCell ref="C6:D6"/>
    <mergeCell ref="F6:H6"/>
  </mergeCells>
  <conditionalFormatting sqref="C33:D33">
    <cfRule type="cellIs" dxfId="9" priority="2" operator="equal">
      <formula>"Überfällig"</formula>
    </cfRule>
    <cfRule type="cellIs" dxfId="8" priority="3" operator="equal">
      <formula>"Fällig ≤ 30 Tage"</formula>
    </cfRule>
    <cfRule type="cellIs" dxfId="7" priority="4" operator="equal">
      <formula>"Im Plan"</formula>
    </cfRule>
    <cfRule type="cellIs" dxfId="6" priority="5" operator="equal">
      <formula>"Abgeschlossen"</formula>
    </cfRule>
    <cfRule type="cellIs" dxfId="5" priority="6" operator="equal">
      <formula>"Kein Termin"</formula>
    </cfRule>
  </conditionalFormatting>
  <conditionalFormatting sqref="G12:H12">
    <cfRule type="cellIs" dxfId="4" priority="7" operator="equal">
      <formula>"Abgenommen"</formula>
    </cfRule>
    <cfRule type="cellIs" dxfId="3" priority="8" operator="equal">
      <formula>"In Ausführung"</formula>
    </cfRule>
    <cfRule type="cellIs" dxfId="2" priority="9" operator="equal">
      <formula>"Freigegeben"</formula>
    </cfRule>
    <cfRule type="cellIs" dxfId="1" priority="10" operator="equal">
      <formula>"In Planung"</formula>
    </cfRule>
    <cfRule type="cellIs" dxfId="0" priority="11" operator="equal">
      <formula>"Zurückgestellt"</formula>
    </cfRule>
  </conditionalFormatting>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promptTitle="Raum wählen" prompt="Raum-Nr. aus dem Blatt „Raumbuch“ auswählen." xr:uid="{00000000-0002-0000-0200-000000000000}">
          <x14:formula1>
            <xm:f>Raumbuch!$A$6:$A$85</xm:f>
          </x14:formula1>
          <x14:formula2>
            <xm:f>0</xm:f>
          </x14:formula2>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A8079"/>
    <pageSetUpPr fitToPage="1"/>
  </sheetPr>
  <dimension ref="B1:K37"/>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8.7109375" defaultRowHeight="12.75" x14ac:dyDescent="0.2"/>
  <cols>
    <col min="1" max="1" width="2.42578125" customWidth="1"/>
    <col min="2" max="2" width="30" customWidth="1"/>
    <col min="3" max="3" width="18" customWidth="1"/>
    <col min="4" max="4" width="24" customWidth="1"/>
    <col min="5" max="5" width="30" customWidth="1"/>
    <col min="6" max="6" width="18" customWidth="1"/>
    <col min="7" max="7" width="24" customWidth="1"/>
    <col min="8" max="8" width="30" customWidth="1"/>
    <col min="9" max="9" width="18" customWidth="1"/>
    <col min="10" max="11" width="20" customWidth="1"/>
  </cols>
  <sheetData>
    <row r="1" spans="2:11" ht="6" customHeight="1" x14ac:dyDescent="0.25">
      <c r="B1" s="15"/>
      <c r="C1" s="15"/>
      <c r="D1" s="15"/>
      <c r="E1" s="15"/>
      <c r="F1" s="15"/>
      <c r="G1" s="15"/>
      <c r="H1" s="15"/>
      <c r="I1" s="15"/>
      <c r="J1" s="15"/>
      <c r="K1" s="15"/>
    </row>
    <row r="2" spans="2:11" ht="25.5" customHeight="1" x14ac:dyDescent="0.35">
      <c r="B2" s="90" t="s">
        <v>304</v>
      </c>
      <c r="C2" s="90"/>
      <c r="D2" s="90"/>
      <c r="E2" s="90"/>
      <c r="F2" s="90"/>
      <c r="G2" s="90"/>
      <c r="H2" s="90"/>
      <c r="I2" s="90"/>
      <c r="J2" s="90"/>
      <c r="K2" s="90"/>
    </row>
    <row r="3" spans="2:11" x14ac:dyDescent="0.2">
      <c r="B3" s="91" t="s">
        <v>305</v>
      </c>
      <c r="C3" s="91"/>
      <c r="D3" s="91"/>
      <c r="E3" s="91"/>
      <c r="F3" s="91"/>
      <c r="G3" s="91"/>
      <c r="H3" s="91"/>
      <c r="I3" s="91"/>
      <c r="J3" s="91"/>
      <c r="K3" s="91"/>
    </row>
    <row r="4" spans="2:11" ht="3.75" customHeight="1" x14ac:dyDescent="0.25">
      <c r="B4" s="16"/>
      <c r="C4" s="16"/>
      <c r="D4" s="16"/>
      <c r="E4" s="16"/>
      <c r="F4" s="16"/>
      <c r="G4" s="16"/>
      <c r="H4" s="16"/>
      <c r="I4" s="16"/>
      <c r="J4" s="16"/>
      <c r="K4" s="16"/>
    </row>
    <row r="6" spans="2:11" ht="19.5" customHeight="1" x14ac:dyDescent="0.2">
      <c r="B6" s="11" t="s">
        <v>306</v>
      </c>
      <c r="C6" s="11"/>
      <c r="D6" s="11"/>
      <c r="E6" s="11"/>
      <c r="F6" s="11"/>
      <c r="G6" s="11"/>
      <c r="H6" s="11"/>
      <c r="I6" s="11"/>
      <c r="J6" s="11"/>
      <c r="K6" s="11"/>
    </row>
    <row r="7" spans="2:11" ht="24" customHeight="1" x14ac:dyDescent="0.2">
      <c r="B7" s="20" t="s">
        <v>116</v>
      </c>
      <c r="C7" s="20" t="s">
        <v>45</v>
      </c>
      <c r="D7" s="20" t="s">
        <v>58</v>
      </c>
      <c r="E7" s="20" t="s">
        <v>273</v>
      </c>
      <c r="F7" s="20" t="s">
        <v>131</v>
      </c>
      <c r="G7" s="20" t="s">
        <v>290</v>
      </c>
      <c r="H7" s="20" t="s">
        <v>135</v>
      </c>
      <c r="I7" s="20" t="s">
        <v>137</v>
      </c>
      <c r="J7" s="20" t="s">
        <v>74</v>
      </c>
      <c r="K7" s="20" t="s">
        <v>144</v>
      </c>
    </row>
    <row r="8" spans="2:11" x14ac:dyDescent="0.2">
      <c r="B8" s="44" t="s">
        <v>149</v>
      </c>
      <c r="C8" s="44" t="s">
        <v>50</v>
      </c>
      <c r="D8" s="44" t="s">
        <v>59</v>
      </c>
      <c r="E8" s="44" t="s">
        <v>163</v>
      </c>
      <c r="F8" s="44" t="s">
        <v>188</v>
      </c>
      <c r="G8" s="44" t="s">
        <v>204</v>
      </c>
      <c r="H8" s="44" t="s">
        <v>189</v>
      </c>
      <c r="I8" s="44" t="s">
        <v>181</v>
      </c>
      <c r="J8" s="44" t="s">
        <v>75</v>
      </c>
      <c r="K8" s="44" t="s">
        <v>159</v>
      </c>
    </row>
    <row r="9" spans="2:11" x14ac:dyDescent="0.2">
      <c r="B9" s="44" t="s">
        <v>243</v>
      </c>
      <c r="C9" s="44" t="s">
        <v>51</v>
      </c>
      <c r="D9" s="44" t="s">
        <v>60</v>
      </c>
      <c r="E9" s="44" t="s">
        <v>218</v>
      </c>
      <c r="F9" s="44" t="s">
        <v>178</v>
      </c>
      <c r="G9" s="44" t="s">
        <v>179</v>
      </c>
      <c r="H9" s="44" t="s">
        <v>172</v>
      </c>
      <c r="I9" s="44" t="s">
        <v>158</v>
      </c>
      <c r="J9" s="44" t="s">
        <v>76</v>
      </c>
      <c r="K9" s="44" t="s">
        <v>167</v>
      </c>
    </row>
    <row r="10" spans="2:11" x14ac:dyDescent="0.2">
      <c r="B10" s="44" t="s">
        <v>307</v>
      </c>
      <c r="C10" s="44" t="s">
        <v>52</v>
      </c>
      <c r="D10" s="44" t="s">
        <v>61</v>
      </c>
      <c r="E10" s="44" t="s">
        <v>151</v>
      </c>
      <c r="F10" s="44" t="s">
        <v>164</v>
      </c>
      <c r="G10" s="44" t="s">
        <v>212</v>
      </c>
      <c r="H10" s="44" t="s">
        <v>157</v>
      </c>
      <c r="I10" s="44" t="s">
        <v>166</v>
      </c>
      <c r="J10" s="44" t="s">
        <v>77</v>
      </c>
      <c r="K10" s="44" t="s">
        <v>15</v>
      </c>
    </row>
    <row r="11" spans="2:11" x14ac:dyDescent="0.2">
      <c r="C11" s="44" t="s">
        <v>53</v>
      </c>
      <c r="D11" s="44" t="s">
        <v>62</v>
      </c>
      <c r="E11" s="44" t="s">
        <v>228</v>
      </c>
      <c r="F11" s="44" t="s">
        <v>241</v>
      </c>
      <c r="G11" s="44" t="s">
        <v>234</v>
      </c>
      <c r="H11" s="44" t="s">
        <v>308</v>
      </c>
      <c r="I11" s="44" t="s">
        <v>255</v>
      </c>
      <c r="J11" s="44" t="s">
        <v>78</v>
      </c>
      <c r="K11" s="44" t="s">
        <v>229</v>
      </c>
    </row>
    <row r="12" spans="2:11" x14ac:dyDescent="0.2">
      <c r="C12" s="44" t="s">
        <v>54</v>
      </c>
      <c r="D12" s="44" t="s">
        <v>63</v>
      </c>
      <c r="E12" s="44" t="s">
        <v>171</v>
      </c>
      <c r="F12" s="44" t="s">
        <v>155</v>
      </c>
      <c r="G12" s="44" t="s">
        <v>156</v>
      </c>
      <c r="H12" s="44" t="s">
        <v>180</v>
      </c>
      <c r="I12" s="44" t="s">
        <v>264</v>
      </c>
      <c r="J12" s="44" t="s">
        <v>79</v>
      </c>
      <c r="K12" s="44" t="s">
        <v>182</v>
      </c>
    </row>
    <row r="13" spans="2:11" x14ac:dyDescent="0.2">
      <c r="C13" s="44" t="s">
        <v>55</v>
      </c>
      <c r="D13" s="44" t="s">
        <v>64</v>
      </c>
      <c r="E13" s="44" t="s">
        <v>248</v>
      </c>
      <c r="F13" s="44" t="s">
        <v>309</v>
      </c>
      <c r="G13" s="44" t="s">
        <v>310</v>
      </c>
      <c r="K13" s="44" t="s">
        <v>195</v>
      </c>
    </row>
    <row r="14" spans="2:11" x14ac:dyDescent="0.2">
      <c r="D14" s="44" t="s">
        <v>65</v>
      </c>
      <c r="G14" s="44" t="s">
        <v>165</v>
      </c>
    </row>
    <row r="15" spans="2:11" x14ac:dyDescent="0.2">
      <c r="D15" s="44" t="s">
        <v>66</v>
      </c>
    </row>
    <row r="16" spans="2:11" x14ac:dyDescent="0.2">
      <c r="D16" s="44" t="s">
        <v>67</v>
      </c>
    </row>
    <row r="17" spans="2:11" x14ac:dyDescent="0.2">
      <c r="D17" s="44" t="s">
        <v>68</v>
      </c>
    </row>
    <row r="18" spans="2:11" x14ac:dyDescent="0.2">
      <c r="D18" s="44" t="s">
        <v>69</v>
      </c>
    </row>
    <row r="19" spans="2:11" x14ac:dyDescent="0.2">
      <c r="D19" s="44" t="s">
        <v>70</v>
      </c>
    </row>
    <row r="20" spans="2:11" x14ac:dyDescent="0.2">
      <c r="D20" s="44" t="s">
        <v>71</v>
      </c>
    </row>
    <row r="21" spans="2:11" x14ac:dyDescent="0.2">
      <c r="D21" s="44" t="s">
        <v>72</v>
      </c>
    </row>
    <row r="23" spans="2:11" ht="19.5" customHeight="1" x14ac:dyDescent="0.2">
      <c r="B23" s="11" t="s">
        <v>311</v>
      </c>
      <c r="C23" s="11"/>
      <c r="D23" s="11"/>
      <c r="E23" s="11"/>
      <c r="F23" s="11"/>
      <c r="G23" s="11"/>
      <c r="H23" s="11"/>
      <c r="I23" s="11"/>
      <c r="J23" s="11"/>
      <c r="K23" s="11"/>
    </row>
    <row r="24" spans="2:11" x14ac:dyDescent="0.2">
      <c r="B24" s="92" t="s">
        <v>128</v>
      </c>
      <c r="C24" s="92"/>
      <c r="E24" s="92" t="s">
        <v>285</v>
      </c>
      <c r="F24" s="92"/>
      <c r="H24" s="92" t="s">
        <v>130</v>
      </c>
      <c r="I24" s="92"/>
    </row>
    <row r="25" spans="2:11" ht="24" customHeight="1" x14ac:dyDescent="0.2">
      <c r="B25" s="63" t="s">
        <v>312</v>
      </c>
      <c r="C25" s="63" t="s">
        <v>313</v>
      </c>
      <c r="E25" s="63" t="s">
        <v>312</v>
      </c>
      <c r="F25" s="63" t="s">
        <v>313</v>
      </c>
      <c r="H25" s="63" t="s">
        <v>312</v>
      </c>
      <c r="I25" s="63" t="s">
        <v>313</v>
      </c>
    </row>
    <row r="26" spans="2:11" x14ac:dyDescent="0.2">
      <c r="B26" s="44" t="s">
        <v>152</v>
      </c>
      <c r="C26" s="64">
        <v>29</v>
      </c>
      <c r="E26" s="44" t="s">
        <v>153</v>
      </c>
      <c r="F26" s="64">
        <v>18</v>
      </c>
      <c r="H26" s="44" t="s">
        <v>314</v>
      </c>
      <c r="I26" s="64">
        <v>16</v>
      </c>
    </row>
    <row r="27" spans="2:11" x14ac:dyDescent="0.2">
      <c r="B27" s="44" t="s">
        <v>186</v>
      </c>
      <c r="C27" s="64">
        <v>44</v>
      </c>
      <c r="E27" s="44" t="s">
        <v>176</v>
      </c>
      <c r="F27" s="64">
        <v>27</v>
      </c>
      <c r="H27" s="44" t="s">
        <v>211</v>
      </c>
      <c r="I27" s="64">
        <v>49</v>
      </c>
    </row>
    <row r="28" spans="2:11" x14ac:dyDescent="0.2">
      <c r="B28" s="44" t="s">
        <v>254</v>
      </c>
      <c r="C28" s="64">
        <v>57</v>
      </c>
      <c r="E28" s="44" t="s">
        <v>233</v>
      </c>
      <c r="F28" s="64">
        <v>63</v>
      </c>
      <c r="H28" s="44" t="s">
        <v>194</v>
      </c>
      <c r="I28" s="64">
        <v>66</v>
      </c>
    </row>
    <row r="29" spans="2:11" x14ac:dyDescent="0.2">
      <c r="B29" s="44" t="s">
        <v>221</v>
      </c>
      <c r="C29" s="64">
        <v>69</v>
      </c>
      <c r="E29" s="44" t="s">
        <v>222</v>
      </c>
      <c r="F29" s="64">
        <v>34</v>
      </c>
      <c r="H29" s="44" t="s">
        <v>177</v>
      </c>
      <c r="I29" s="64">
        <v>94</v>
      </c>
    </row>
    <row r="30" spans="2:11" x14ac:dyDescent="0.2">
      <c r="B30" s="44" t="s">
        <v>240</v>
      </c>
      <c r="C30" s="64">
        <v>78</v>
      </c>
      <c r="E30" s="44" t="s">
        <v>193</v>
      </c>
      <c r="F30" s="64">
        <v>86</v>
      </c>
      <c r="H30" s="44" t="s">
        <v>315</v>
      </c>
      <c r="I30" s="64">
        <v>178</v>
      </c>
    </row>
    <row r="31" spans="2:11" x14ac:dyDescent="0.2">
      <c r="B31" s="44" t="s">
        <v>175</v>
      </c>
      <c r="C31" s="64">
        <v>96</v>
      </c>
      <c r="E31" s="44" t="s">
        <v>187</v>
      </c>
      <c r="F31" s="64">
        <v>142</v>
      </c>
      <c r="H31" s="44" t="s">
        <v>154</v>
      </c>
      <c r="I31" s="64">
        <v>0</v>
      </c>
    </row>
    <row r="32" spans="2:11" x14ac:dyDescent="0.2">
      <c r="B32" s="44" t="s">
        <v>316</v>
      </c>
      <c r="C32" s="64">
        <v>124</v>
      </c>
      <c r="E32" s="44" t="s">
        <v>154</v>
      </c>
      <c r="F32" s="64">
        <v>0</v>
      </c>
    </row>
    <row r="33" spans="2:11" x14ac:dyDescent="0.2">
      <c r="B33" s="44" t="s">
        <v>232</v>
      </c>
      <c r="C33" s="64">
        <v>148</v>
      </c>
    </row>
    <row r="34" spans="2:11" x14ac:dyDescent="0.2">
      <c r="B34" s="44" t="s">
        <v>263</v>
      </c>
      <c r="C34" s="64">
        <v>0</v>
      </c>
    </row>
    <row r="36" spans="2:11" ht="15.75" customHeight="1" x14ac:dyDescent="0.2">
      <c r="B36" s="66" t="s">
        <v>317</v>
      </c>
      <c r="C36" s="66"/>
      <c r="D36" s="66"/>
      <c r="E36" s="66"/>
      <c r="F36" s="66"/>
      <c r="G36" s="66"/>
      <c r="H36" s="66"/>
      <c r="I36" s="66"/>
      <c r="J36" s="66"/>
      <c r="K36" s="66"/>
    </row>
    <row r="37" spans="2:11" ht="15.75" customHeight="1" x14ac:dyDescent="0.2">
      <c r="B37" s="66"/>
      <c r="C37" s="66"/>
      <c r="D37" s="66"/>
      <c r="E37" s="66"/>
      <c r="F37" s="66"/>
      <c r="G37" s="66"/>
      <c r="H37" s="66"/>
      <c r="I37" s="66"/>
      <c r="J37" s="66"/>
      <c r="K37" s="66"/>
    </row>
  </sheetData>
  <mergeCells count="8">
    <mergeCell ref="B36:K37"/>
    <mergeCell ref="B2:K2"/>
    <mergeCell ref="B3:K3"/>
    <mergeCell ref="B6:K6"/>
    <mergeCell ref="B23:K23"/>
    <mergeCell ref="B24:C24"/>
    <mergeCell ref="E24:F24"/>
    <mergeCell ref="H24:I24"/>
  </mergeCells>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Übersicht</vt:lpstr>
      <vt:lpstr>Raumbuch</vt:lpstr>
      <vt:lpstr>Raumdatenblatt</vt:lpstr>
      <vt:lpstr>Stammdaten</vt:lpstr>
      <vt:lpstr>Raumbuch!Druckbereich</vt:lpstr>
      <vt:lpstr>Raumdatenblatt!Druckbereich</vt:lpstr>
      <vt:lpstr>Stammdaten!Druckbereich</vt:lpstr>
      <vt:lpstr>Übersicht!Druckbereich</vt:lpstr>
      <vt:lpstr>Raumbuch!Drucktitel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2026-08-21T13:25:41Z</dcterms:created>
  <dcterms:modified xsi:type="dcterms:W3CDTF">2026-08-22T05:41:56Z</dcterms:modified>
  <dc:language>en-US</dc:language>
</cp:coreProperties>
</file>