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Vertical\"/>
    </mc:Choice>
  </mc:AlternateContent>
  <xr:revisionPtr revIDLastSave="0" documentId="13_ncr:1_{4E412B06-8077-4A0B-8E69-7850B9874AD7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Teilnehmer" sheetId="2" r:id="rId2"/>
    <sheet name="Spielplan" sheetId="3" r:id="rId3"/>
    <sheet name="Ranglist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9" i="4" l="1"/>
  <c r="A38" i="4"/>
  <c r="F37" i="4"/>
  <c r="A37" i="4"/>
  <c r="G36" i="4"/>
  <c r="A36" i="4"/>
  <c r="D35" i="4"/>
  <c r="A35" i="4"/>
  <c r="E34" i="4"/>
  <c r="A34" i="4"/>
  <c r="D33" i="4"/>
  <c r="A33" i="4"/>
  <c r="A32" i="4"/>
  <c r="I31" i="4"/>
  <c r="H31" i="4"/>
  <c r="G31" i="4"/>
  <c r="F31" i="4"/>
  <c r="E31" i="4"/>
  <c r="D31" i="4"/>
  <c r="C31" i="4"/>
  <c r="B31" i="4"/>
  <c r="U12" i="4"/>
  <c r="T12" i="4"/>
  <c r="V12" i="4" s="1"/>
  <c r="P12" i="4"/>
  <c r="O12" i="4"/>
  <c r="U11" i="4"/>
  <c r="T11" i="4"/>
  <c r="V11" i="4" s="1"/>
  <c r="P11" i="4"/>
  <c r="O11" i="4"/>
  <c r="U10" i="4"/>
  <c r="T10" i="4"/>
  <c r="V10" i="4" s="1"/>
  <c r="P10" i="4"/>
  <c r="O10" i="4"/>
  <c r="U9" i="4"/>
  <c r="V9" i="4" s="1"/>
  <c r="T9" i="4"/>
  <c r="P9" i="4"/>
  <c r="O9" i="4"/>
  <c r="V8" i="4"/>
  <c r="U8" i="4"/>
  <c r="T8" i="4"/>
  <c r="P8" i="4"/>
  <c r="O8" i="4"/>
  <c r="U7" i="4"/>
  <c r="T7" i="4"/>
  <c r="V7" i="4" s="1"/>
  <c r="P7" i="4"/>
  <c r="O7" i="4"/>
  <c r="U6" i="4"/>
  <c r="T6" i="4"/>
  <c r="V6" i="4" s="1"/>
  <c r="P6" i="4"/>
  <c r="O6" i="4"/>
  <c r="U5" i="4"/>
  <c r="T5" i="4"/>
  <c r="V5" i="4" s="1"/>
  <c r="P5" i="4"/>
  <c r="O5" i="4"/>
  <c r="L31" i="3"/>
  <c r="I31" i="3"/>
  <c r="G31" i="3"/>
  <c r="I30" i="3"/>
  <c r="G30" i="3"/>
  <c r="L30" i="3" s="1"/>
  <c r="I29" i="3"/>
  <c r="G29" i="3"/>
  <c r="L29" i="3" s="1"/>
  <c r="I28" i="3"/>
  <c r="G28" i="3"/>
  <c r="L28" i="3" s="1"/>
  <c r="I27" i="3"/>
  <c r="L27" i="3" s="1"/>
  <c r="G27" i="3"/>
  <c r="I26" i="3"/>
  <c r="G26" i="3"/>
  <c r="L26" i="3" s="1"/>
  <c r="I25" i="3"/>
  <c r="L25" i="3" s="1"/>
  <c r="G25" i="3"/>
  <c r="I24" i="3"/>
  <c r="G24" i="3"/>
  <c r="L24" i="3" s="1"/>
  <c r="I23" i="3"/>
  <c r="L23" i="3" s="1"/>
  <c r="G23" i="3"/>
  <c r="I22" i="3"/>
  <c r="L22" i="3" s="1"/>
  <c r="G22" i="3"/>
  <c r="I21" i="3"/>
  <c r="G21" i="3"/>
  <c r="L21" i="3" s="1"/>
  <c r="I20" i="3"/>
  <c r="L20" i="3" s="1"/>
  <c r="G20" i="3"/>
  <c r="I19" i="3"/>
  <c r="L19" i="3" s="1"/>
  <c r="G19" i="3"/>
  <c r="L18" i="3"/>
  <c r="H34" i="4" s="1"/>
  <c r="I18" i="3"/>
  <c r="G18" i="3"/>
  <c r="I17" i="3"/>
  <c r="G17" i="3"/>
  <c r="L17" i="3" s="1"/>
  <c r="I16" i="3"/>
  <c r="G16" i="3"/>
  <c r="L16" i="3" s="1"/>
  <c r="L15" i="3"/>
  <c r="C34" i="4" s="1"/>
  <c r="I15" i="3"/>
  <c r="G15" i="3"/>
  <c r="I14" i="3"/>
  <c r="L14" i="3" s="1"/>
  <c r="G14" i="3"/>
  <c r="I13" i="3"/>
  <c r="G13" i="3"/>
  <c r="L13" i="3" s="1"/>
  <c r="I12" i="3"/>
  <c r="G12" i="3"/>
  <c r="L12" i="3" s="1"/>
  <c r="L11" i="3"/>
  <c r="I11" i="3"/>
  <c r="G11" i="3"/>
  <c r="I10" i="3"/>
  <c r="L10" i="3" s="1"/>
  <c r="G10" i="3"/>
  <c r="I9" i="3"/>
  <c r="L9" i="3" s="1"/>
  <c r="G9" i="3"/>
  <c r="I8" i="3"/>
  <c r="G8" i="3"/>
  <c r="L8" i="3" s="1"/>
  <c r="I7" i="3"/>
  <c r="L7" i="3" s="1"/>
  <c r="G7" i="3"/>
  <c r="I6" i="3"/>
  <c r="L6" i="3" s="1"/>
  <c r="G6" i="3"/>
  <c r="I5" i="3"/>
  <c r="L5" i="3" s="1"/>
  <c r="G5" i="3"/>
  <c r="I4" i="3"/>
  <c r="G4" i="3"/>
  <c r="L4" i="3" s="1"/>
  <c r="C13" i="1"/>
  <c r="F7" i="1"/>
  <c r="Q9" i="4" l="1"/>
  <c r="D36" i="4"/>
  <c r="F34" i="4"/>
  <c r="R9" i="4"/>
  <c r="W9" i="4" s="1"/>
  <c r="X9" i="4" s="1"/>
  <c r="Y9" i="4" s="1"/>
  <c r="I33" i="4"/>
  <c r="C39" i="4"/>
  <c r="H35" i="4"/>
  <c r="E38" i="4"/>
  <c r="Q11" i="4"/>
  <c r="S11" i="4" s="1"/>
  <c r="H36" i="4"/>
  <c r="F38" i="4"/>
  <c r="C37" i="4"/>
  <c r="G33" i="4"/>
  <c r="R10" i="4"/>
  <c r="W10" i="4" s="1"/>
  <c r="X10" i="4" s="1"/>
  <c r="Y10" i="4" s="1"/>
  <c r="E39" i="4"/>
  <c r="I35" i="4"/>
  <c r="H39" i="4"/>
  <c r="I38" i="4"/>
  <c r="Q6" i="4"/>
  <c r="S6" i="4" s="1"/>
  <c r="H33" i="4"/>
  <c r="C38" i="4"/>
  <c r="D32" i="4"/>
  <c r="B34" i="4"/>
  <c r="R6" i="4"/>
  <c r="W6" i="4" s="1"/>
  <c r="X6" i="4" s="1"/>
  <c r="Y6" i="4" s="1"/>
  <c r="E36" i="4"/>
  <c r="Q8" i="4"/>
  <c r="F35" i="4"/>
  <c r="E32" i="4"/>
  <c r="B35" i="4"/>
  <c r="G32" i="4"/>
  <c r="B37" i="4"/>
  <c r="B39" i="4"/>
  <c r="Q5" i="4"/>
  <c r="I32" i="4"/>
  <c r="R12" i="4"/>
  <c r="W12" i="4" s="1"/>
  <c r="X12" i="4" s="1"/>
  <c r="Y12" i="4" s="1"/>
  <c r="R5" i="4"/>
  <c r="W5" i="4" s="1"/>
  <c r="X5" i="4" s="1"/>
  <c r="Y5" i="4" s="1"/>
  <c r="F6" i="1"/>
  <c r="D37" i="4"/>
  <c r="Q7" i="4"/>
  <c r="S7" i="4" s="1"/>
  <c r="G34" i="4"/>
  <c r="R11" i="4"/>
  <c r="W11" i="4" s="1"/>
  <c r="X11" i="4" s="1"/>
  <c r="Y11" i="4" s="1"/>
  <c r="F32" i="4"/>
  <c r="B36" i="4"/>
  <c r="E33" i="4"/>
  <c r="C35" i="4"/>
  <c r="F39" i="4"/>
  <c r="I36" i="4"/>
  <c r="B38" i="4"/>
  <c r="H32" i="4"/>
  <c r="G35" i="4"/>
  <c r="E37" i="4"/>
  <c r="Q10" i="4"/>
  <c r="R7" i="4"/>
  <c r="W7" i="4" s="1"/>
  <c r="X7" i="4" s="1"/>
  <c r="Y7" i="4" s="1"/>
  <c r="H37" i="4"/>
  <c r="G38" i="4"/>
  <c r="Q12" i="4"/>
  <c r="S12" i="4" s="1"/>
  <c r="G39" i="4"/>
  <c r="I37" i="4"/>
  <c r="C32" i="4"/>
  <c r="B33" i="4"/>
  <c r="R8" i="4"/>
  <c r="W8" i="4" s="1"/>
  <c r="X8" i="4" s="1"/>
  <c r="Y8" i="4" s="1"/>
  <c r="C36" i="4"/>
  <c r="F33" i="4"/>
  <c r="I34" i="4"/>
  <c r="D39" i="4"/>
  <c r="D38" i="4"/>
  <c r="F8" i="1" l="1"/>
  <c r="S5" i="4"/>
  <c r="S10" i="4"/>
  <c r="G6" i="4" s="1"/>
  <c r="I11" i="4"/>
  <c r="I10" i="4"/>
  <c r="B11" i="4"/>
  <c r="H5" i="4"/>
  <c r="B10" i="4"/>
  <c r="C9" i="4"/>
  <c r="E7" i="4"/>
  <c r="F6" i="4"/>
  <c r="G5" i="4"/>
  <c r="D7" i="4"/>
  <c r="B6" i="4"/>
  <c r="C5" i="4"/>
  <c r="K12" i="4"/>
  <c r="J12" i="4"/>
  <c r="J11" i="4"/>
  <c r="K10" i="4"/>
  <c r="G12" i="4"/>
  <c r="H11" i="4"/>
  <c r="J9" i="4"/>
  <c r="K8" i="4"/>
  <c r="B8" i="4"/>
  <c r="E5" i="4"/>
  <c r="B7" i="4"/>
  <c r="D5" i="4"/>
  <c r="B5" i="4"/>
  <c r="K11" i="4"/>
  <c r="I12" i="4"/>
  <c r="G11" i="4"/>
  <c r="J8" i="4"/>
  <c r="F7" i="4"/>
  <c r="D8" i="4"/>
  <c r="F5" i="4"/>
  <c r="C7" i="4"/>
  <c r="F17" i="1" s="1"/>
  <c r="H12" i="4"/>
  <c r="J10" i="4"/>
  <c r="K9" i="4"/>
  <c r="F12" i="4"/>
  <c r="H10" i="4"/>
  <c r="I9" i="4"/>
  <c r="K7" i="4"/>
  <c r="B9" i="4"/>
  <c r="E6" i="4"/>
  <c r="E12" i="4"/>
  <c r="F11" i="4"/>
  <c r="G10" i="4"/>
  <c r="H9" i="4"/>
  <c r="I8" i="4"/>
  <c r="J7" i="4"/>
  <c r="K6" i="4"/>
  <c r="D12" i="4"/>
  <c r="E11" i="4"/>
  <c r="F10" i="4"/>
  <c r="G9" i="4"/>
  <c r="H8" i="4"/>
  <c r="I7" i="4"/>
  <c r="J6" i="4"/>
  <c r="K5" i="4"/>
  <c r="C12" i="4"/>
  <c r="D11" i="4"/>
  <c r="E10" i="4"/>
  <c r="F9" i="4"/>
  <c r="H7" i="4"/>
  <c r="I6" i="4"/>
  <c r="J5" i="4"/>
  <c r="B12" i="4"/>
  <c r="C11" i="4"/>
  <c r="D10" i="4"/>
  <c r="E9" i="4"/>
  <c r="F8" i="4"/>
  <c r="G7" i="4"/>
  <c r="H6" i="4"/>
  <c r="I5" i="4"/>
  <c r="C10" i="4"/>
  <c r="D9" i="4"/>
  <c r="E8" i="4"/>
  <c r="C8" i="4"/>
  <c r="D6" i="4"/>
  <c r="C6" i="4"/>
  <c r="D17" i="1" s="1"/>
  <c r="S8" i="4"/>
  <c r="S9" i="4"/>
  <c r="G8" i="4" s="1"/>
  <c r="D18" i="1" l="1"/>
  <c r="B17" i="1"/>
  <c r="F9" i="1"/>
  <c r="F10" i="1"/>
  <c r="F18" i="1"/>
  <c r="B18" i="1"/>
</calcChain>
</file>

<file path=xl/sharedStrings.xml><?xml version="1.0" encoding="utf-8"?>
<sst xmlns="http://schemas.openxmlformats.org/spreadsheetml/2006/main" count="95" uniqueCount="81">
  <si>
    <t>Turnierplan &amp; Auswertung · Jeder gegen Jeden (Round Robin)</t>
  </si>
  <si>
    <t>Turnierdaten</t>
  </si>
  <si>
    <t>Turnierstatus</t>
  </si>
  <si>
    <t>Turniername</t>
  </si>
  <si>
    <t>Frühjahrs-Cup 2026</t>
  </si>
  <si>
    <t>Gespielte Spiele</t>
  </si>
  <si>
    <t>Datum</t>
  </si>
  <si>
    <t>Spiele gesamt</t>
  </si>
  <si>
    <t>Austragungsort</t>
  </si>
  <si>
    <t>Sporthalle am Stadtpark, Musterstadt</t>
  </si>
  <si>
    <t>Fortschritt</t>
  </si>
  <si>
    <t>Turnierleitung</t>
  </si>
  <si>
    <t>M. Sommer</t>
  </si>
  <si>
    <t>Aktuelle Führung</t>
  </si>
  <si>
    <t>Ausrichter</t>
  </si>
  <si>
    <t>TTC Musterstadt e. V.</t>
  </si>
  <si>
    <t>Turniersieger</t>
  </si>
  <si>
    <t>Modus</t>
  </si>
  <si>
    <t>Jeder gegen Jeden (Round Robin)</t>
  </si>
  <si>
    <t>Spielsystem</t>
  </si>
  <si>
    <t>Best of 5 (3 Gewinnsätze)</t>
  </si>
  <si>
    <t>Anzahl Teilnehmer</t>
  </si>
  <si>
    <t>Podium – Top 3</t>
  </si>
  <si>
    <t>🥇  1. Platz</t>
  </si>
  <si>
    <t>🥈  2. Platz</t>
  </si>
  <si>
    <t>🥉  3. Platz</t>
  </si>
  <si>
    <t>So funktioniert die Vorlage</t>
  </si>
  <si>
    <t>1.  Reiter »Teilnehmer«: Namen und Vereine der 8 Spieler eintragen.</t>
  </si>
  <si>
    <t>2.  Reiter »Spielplan«: je Partie die gewonnenen Sätze (Best of 5) eingeben – Sieger und Tabelle berechnen sich automatisch.</t>
  </si>
  <si>
    <t>3.  Reiter »Rangliste«: zeigt die live sortierte Tabelle inkl. Kreuztabelle. Dieses Blatt fasst alles zusammen.</t>
  </si>
  <si>
    <t>Hinweis:  Gelb hinterlegte Zellen sind Eingabefelder. Alle übrigen Werte werden automatisch berechnet – bitte nicht überschreiben.</t>
  </si>
  <si>
    <t>Punktevergabe:  Sieg = 2 Punkte, Niederlage = 0 Punkte.  Rangfolge: 1. Punkte, 2. Satzdifferenz, 3. gewonnene Sätze.</t>
  </si>
  <si>
    <t>TEILNEHMER</t>
  </si>
  <si>
    <t>Tragen Sie die Startnummer sowie Name und Verein jedes Spielers ein (Vorlage für 8 Teilnehmer).</t>
  </si>
  <si>
    <t>Startnr.</t>
  </si>
  <si>
    <t>Spieler</t>
  </si>
  <si>
    <t>Verein</t>
  </si>
  <si>
    <t>Setzung</t>
  </si>
  <si>
    <t>Lukas Berger</t>
  </si>
  <si>
    <t>TTC Falkensee</t>
  </si>
  <si>
    <t>Jonas Wagner</t>
  </si>
  <si>
    <t>SV Rot-Weiß Norden</t>
  </si>
  <si>
    <t>Finn Hoffmann</t>
  </si>
  <si>
    <t>TSV Eichenau</t>
  </si>
  <si>
    <t>Elias Braun</t>
  </si>
  <si>
    <t>TTF Lindental</t>
  </si>
  <si>
    <t>Noah Schäfer</t>
  </si>
  <si>
    <t>SG Auental</t>
  </si>
  <si>
    <t>Ben Krüger</t>
  </si>
  <si>
    <t>Paul Richter</t>
  </si>
  <si>
    <t>Leon Neumann</t>
  </si>
  <si>
    <t>Startnummer bleibt fest (steuert Spielplan &amp; Tabelle). Setzung dient nur als Info zur gesetzten Reihenfolge.</t>
  </si>
  <si>
    <t>SPIELPLAN &amp; ERGEBNISSE</t>
  </si>
  <si>
    <t>Tragen Sie je Partie die gewonnenen Sätze beider Spieler ein (0–3, Best of 5). Der Sieger wird automatisch ermittelt.</t>
  </si>
  <si>
    <t>Spiel-Nr.</t>
  </si>
  <si>
    <t>Runde</t>
  </si>
  <si>
    <t>Uhrzeit</t>
  </si>
  <si>
    <t>Tisch</t>
  </si>
  <si>
    <t>Nr. A</t>
  </si>
  <si>
    <t>Spieler A</t>
  </si>
  <si>
    <t>Nr. B</t>
  </si>
  <si>
    <t>Spieler B</t>
  </si>
  <si>
    <t>Sätze A</t>
  </si>
  <si>
    <t>Sätze B</t>
  </si>
  <si>
    <t>Sieger</t>
  </si>
  <si>
    <t>RANGLISTE</t>
  </si>
  <si>
    <t>Automatisch aus dem Spielplan berechnet und live sortiert. Keine Eingaben nötig.</t>
  </si>
  <si>
    <t>Platz</t>
  </si>
  <si>
    <t>Spiele</t>
  </si>
  <si>
    <t>Siege</t>
  </si>
  <si>
    <t>Niederl.</t>
  </si>
  <si>
    <t>Gew. Sätze</t>
  </si>
  <si>
    <t>Verl. Sätze</t>
  </si>
  <si>
    <t>Satzdiff.</t>
  </si>
  <si>
    <t>Punkte</t>
  </si>
  <si>
    <t>Berechnungsbereich (automatisch – nicht bearbeiten)</t>
  </si>
  <si>
    <t>Kreuztabelle – Satzergebnisse (Zeile gegen Spalte, aus Sicht der Zeile)</t>
  </si>
  <si>
    <t>Spieler ▸ Gegner</t>
  </si>
  <si>
    <t>—</t>
  </si>
  <si>
    <t>Lesebeispiel: 3:1 in der Zeile bedeutet, der Zeilenspieler gewann mit 3 zu 1 Sätzen gegen den Spaltenspieler.</t>
  </si>
  <si>
    <t>🏓  TISCHTENNIS-TURNIER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</si>
</sst>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\ %"/>
    <numFmt numFmtId="166" formatCode="hh:mm"/>
    <numFmt numFmtId="167" formatCode="\+0;\-0;0"/>
  </numFmts>
  <fonts count="21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b/>
      <sz val="11"/>
      <color rgb="FFFFFFFF"/>
      <name val="Calibri"/>
      <charset val="1"/>
    </font>
    <font>
      <b/>
      <sz val="12"/>
      <color rgb="FF1F3864"/>
      <name val="Calibri"/>
      <charset val="1"/>
    </font>
    <font>
      <b/>
      <sz val="10"/>
      <color rgb="FF7F7F7F"/>
      <name val="Calibri"/>
      <charset val="1"/>
    </font>
    <font>
      <sz val="11"/>
      <color rgb="FF1A1A1A"/>
      <name val="Calibri"/>
      <charset val="1"/>
    </font>
    <font>
      <b/>
      <sz val="11"/>
      <color rgb="FF1A1A1A"/>
      <name val="Calibri"/>
      <charset val="1"/>
    </font>
    <font>
      <b/>
      <sz val="11"/>
      <color rgb="FF1F3864"/>
      <name val="Calibri"/>
      <charset val="1"/>
    </font>
    <font>
      <b/>
      <sz val="11"/>
      <color rgb="FFED7D31"/>
      <name val="Calibri"/>
      <charset val="1"/>
    </font>
    <font>
      <sz val="11"/>
      <color rgb="FF305496"/>
      <name val="Calibri"/>
      <charset val="1"/>
    </font>
    <font>
      <b/>
      <sz val="13"/>
      <color rgb="FF1F3864"/>
      <name val="Calibri"/>
      <charset val="1"/>
    </font>
    <font>
      <sz val="10"/>
      <color rgb="FF7F7F7F"/>
      <name val="Calibri"/>
      <charset val="1"/>
    </font>
    <font>
      <sz val="10"/>
      <color rgb="FF1A1A1A"/>
      <name val="Calibri"/>
      <charset val="1"/>
    </font>
    <font>
      <b/>
      <sz val="9"/>
      <color rgb="FF7F7F7F"/>
      <name val="Calibri"/>
      <charset val="1"/>
    </font>
    <font>
      <b/>
      <sz val="10"/>
      <color rgb="FFFFFFFF"/>
      <name val="Calibri"/>
      <charset val="1"/>
    </font>
    <font>
      <b/>
      <sz val="10"/>
      <color rgb="FF1F3864"/>
      <name val="Calibri"/>
      <charset val="1"/>
    </font>
    <font>
      <b/>
      <sz val="10"/>
      <color rgb="FF1A1A1A"/>
      <name val="Calibri"/>
      <charset val="1"/>
    </font>
    <font>
      <sz val="9"/>
      <color rgb="FF7F7F7F"/>
      <name val="Calibri"/>
      <charset val="1"/>
    </font>
    <font>
      <b/>
      <sz val="9"/>
      <color rgb="FFFFFFFF"/>
      <name val="Calibri"/>
      <charset val="1"/>
    </font>
    <font>
      <b/>
      <sz val="9"/>
      <color rgb="FF1F3864"/>
      <name val="Calibri"/>
      <charset val="1"/>
    </font>
    <font>
      <sz val="9"/>
      <color rgb="FF1A1A1A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305496"/>
      </patternFill>
    </fill>
    <fill>
      <patternFill patternType="solid">
        <fgColor rgb="FFED7D31"/>
        <bgColor rgb="FFFF9900"/>
      </patternFill>
    </fill>
    <fill>
      <patternFill patternType="solid">
        <fgColor rgb="FFFFF2CC"/>
        <bgColor rgb="FFFBE5D6"/>
      </patternFill>
    </fill>
    <fill>
      <patternFill patternType="solid">
        <fgColor rgb="FFF1C232"/>
        <bgColor rgb="FFD9A066"/>
      </patternFill>
    </fill>
    <fill>
      <patternFill patternType="solid">
        <fgColor rgb="FFBFBFBF"/>
        <bgColor rgb="FFD9D9D9"/>
      </patternFill>
    </fill>
    <fill>
      <patternFill patternType="solid">
        <fgColor rgb="FFD9A066"/>
        <bgColor rgb="FFED7D31"/>
      </patternFill>
    </fill>
    <fill>
      <patternFill patternType="solid">
        <fgColor rgb="FFDDEBF7"/>
        <bgColor rgb="FFEDF3FB"/>
      </patternFill>
    </fill>
    <fill>
      <patternFill patternType="solid">
        <fgColor rgb="FFFFFFFF"/>
        <bgColor rgb="FFF2F2F2"/>
      </patternFill>
    </fill>
    <fill>
      <patternFill patternType="solid">
        <fgColor rgb="FFEDF3FB"/>
        <bgColor rgb="FFF2F2F2"/>
      </patternFill>
    </fill>
    <fill>
      <patternFill patternType="solid">
        <fgColor rgb="FFFBE5D6"/>
        <bgColor rgb="FFFFF2CC"/>
      </patternFill>
    </fill>
    <fill>
      <patternFill patternType="solid">
        <fgColor rgb="FF305496"/>
        <bgColor rgb="FF1F3864"/>
      </patternFill>
    </fill>
    <fill>
      <patternFill patternType="solid">
        <fgColor rgb="FF808080"/>
        <bgColor rgb="FF7F7F7F"/>
      </patternFill>
    </fill>
    <fill>
      <patternFill patternType="solid">
        <fgColor rgb="FFF2F2F2"/>
        <bgColor rgb="FFEDF3F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ED7D3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4" fillId="0" borderId="0" xfId="0" applyFont="1"/>
    <xf numFmtId="0" fontId="6" fillId="0" borderId="2" xfId="0" applyFont="1" applyBorder="1" applyAlignment="1">
      <alignment horizontal="left" vertic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164" fontId="12" fillId="9" borderId="2" xfId="0" applyNumberFormat="1" applyFont="1" applyFill="1" applyBorder="1" applyAlignment="1">
      <alignment horizontal="center" vertical="center" wrapText="1"/>
    </xf>
    <xf numFmtId="166" fontId="12" fillId="9" borderId="2" xfId="0" applyNumberFormat="1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164" fontId="12" fillId="10" borderId="2" xfId="0" applyNumberFormat="1" applyFont="1" applyFill="1" applyBorder="1" applyAlignment="1">
      <alignment horizontal="center" vertical="center" wrapText="1"/>
    </xf>
    <xf numFmtId="166" fontId="12" fillId="10" borderId="2" xfId="0" applyNumberFormat="1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left" vertical="center" wrapText="1"/>
    </xf>
    <xf numFmtId="0" fontId="1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  <xf numFmtId="167" fontId="12" fillId="11" borderId="2" xfId="0" applyNumberFormat="1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7" fillId="0" borderId="0" xfId="0" applyFont="1"/>
    <xf numFmtId="0" fontId="2" fillId="12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167" fontId="12" fillId="8" borderId="2" xfId="0" applyNumberFormat="1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left" vertical="center" wrapText="1"/>
    </xf>
    <xf numFmtId="167" fontId="12" fillId="9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left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14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D9A066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3FB"/>
      <rgbColor rgb="FFF2F2F2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1C232"/>
      <rgbColor rgb="FFFF9900"/>
      <rgbColor rgb="FFED7D31"/>
      <rgbColor rgb="FF7F7F7F"/>
      <rgbColor rgb="FF878787"/>
      <rgbColor rgb="FF1F3864"/>
      <rgbColor rgb="FF339966"/>
      <rgbColor rgb="FF003300"/>
      <rgbColor rgb="FF333300"/>
      <rgbColor rgb="FF993300"/>
      <rgbColor rgb="FF993366"/>
      <rgbColor rgb="FF305496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Punkte je Spieler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ED7D31"/>
            </a:solidFill>
            <a:ln w="9360">
              <a:solidFill>
                <a:srgbClr val="ED7D31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Rangliste!$C$5:$C$12</c:f>
              <c:strCache>
                <c:ptCount val="8"/>
                <c:pt idx="0">
                  <c:v>Lukas Berger</c:v>
                </c:pt>
                <c:pt idx="1">
                  <c:v>Ben Krüger</c:v>
                </c:pt>
                <c:pt idx="2">
                  <c:v>Elias Braun</c:v>
                </c:pt>
                <c:pt idx="3">
                  <c:v>Noah Schäfer</c:v>
                </c:pt>
                <c:pt idx="4">
                  <c:v>Paul Richter</c:v>
                </c:pt>
                <c:pt idx="5">
                  <c:v>Jonas Wagner</c:v>
                </c:pt>
                <c:pt idx="6">
                  <c:v>Finn Hoffmann</c:v>
                </c:pt>
                <c:pt idx="7">
                  <c:v>Leon Neumann</c:v>
                </c:pt>
              </c:strCache>
            </c:strRef>
          </c:cat>
          <c:val>
            <c:numRef>
              <c:f>Rangliste!$K$5:$K$12</c:f>
              <c:numCache>
                <c:formatCode>General</c:formatCode>
                <c:ptCount val="8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B-4F74-98B4-65109EFBC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4383"/>
        <c:axId val="63213711"/>
      </c:barChart>
      <c:catAx>
        <c:axId val="46643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3213711"/>
        <c:crosses val="autoZero"/>
        <c:auto val="1"/>
        <c:lblAlgn val="ctr"/>
        <c:lblOffset val="100"/>
        <c:noMultiLvlLbl val="0"/>
      </c:catAx>
      <c:valAx>
        <c:axId val="6321371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66438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7</xdr:col>
      <xdr:colOff>183600</xdr:colOff>
      <xdr:row>28</xdr:row>
      <xdr:rowOff>32760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6"/>
  <sheetViews>
    <sheetView showGridLines="0" tabSelected="1" zoomScaleNormal="100" workbookViewId="0">
      <selection activeCell="F37" sqref="F37"/>
    </sheetView>
  </sheetViews>
  <sheetFormatPr baseColWidth="10" defaultColWidth="8.7109375" defaultRowHeight="15" x14ac:dyDescent="0.25"/>
  <cols>
    <col min="1" max="1" width="3" customWidth="1"/>
    <col min="2" max="2" width="26" customWidth="1"/>
    <col min="3" max="3" width="22" customWidth="1"/>
    <col min="4" max="4" width="4" customWidth="1"/>
    <col min="5" max="5" width="22" customWidth="1"/>
    <col min="6" max="6" width="20" customWidth="1"/>
    <col min="7" max="7" width="16" customWidth="1"/>
    <col min="8" max="8" width="14" customWidth="1"/>
  </cols>
  <sheetData>
    <row r="2" spans="2:8" ht="39.75" customHeight="1" x14ac:dyDescent="0.25">
      <c r="B2" s="11" t="s">
        <v>80</v>
      </c>
      <c r="C2" s="11"/>
      <c r="D2" s="11"/>
      <c r="E2" s="11"/>
      <c r="F2" s="11"/>
      <c r="G2" s="11"/>
      <c r="H2" s="11"/>
    </row>
    <row r="3" spans="2:8" ht="19.5" customHeight="1" x14ac:dyDescent="0.25">
      <c r="B3" s="10" t="s">
        <v>0</v>
      </c>
      <c r="C3" s="10"/>
      <c r="D3" s="10"/>
      <c r="E3" s="10"/>
      <c r="F3" s="10"/>
      <c r="G3" s="10"/>
      <c r="H3" s="10"/>
    </row>
    <row r="5" spans="2:8" ht="15" customHeight="1" x14ac:dyDescent="0.25">
      <c r="B5" s="9" t="s">
        <v>1</v>
      </c>
      <c r="C5" s="9"/>
      <c r="E5" s="9" t="s">
        <v>2</v>
      </c>
      <c r="F5" s="9"/>
    </row>
    <row r="6" spans="2:8" x14ac:dyDescent="0.25">
      <c r="B6" s="12" t="s">
        <v>3</v>
      </c>
      <c r="C6" s="13" t="s">
        <v>4</v>
      </c>
      <c r="E6" s="14" t="s">
        <v>5</v>
      </c>
      <c r="F6" s="15">
        <f>COUNTIF(Spielplan!$L$4:$L$31,"&lt;&gt;")</f>
        <v>28</v>
      </c>
    </row>
    <row r="7" spans="2:8" x14ac:dyDescent="0.25">
      <c r="B7" s="12" t="s">
        <v>6</v>
      </c>
      <c r="C7" s="16">
        <v>46095</v>
      </c>
      <c r="E7" s="14" t="s">
        <v>7</v>
      </c>
      <c r="F7" s="17">
        <f>COUNTA(Spielplan!$A$4:$A$31)</f>
        <v>28</v>
      </c>
    </row>
    <row r="8" spans="2:8" ht="30" x14ac:dyDescent="0.25">
      <c r="B8" s="12" t="s">
        <v>8</v>
      </c>
      <c r="C8" s="13" t="s">
        <v>9</v>
      </c>
      <c r="E8" s="14" t="s">
        <v>10</v>
      </c>
      <c r="F8" s="18">
        <f>IFERROR(F6/F7,0)</f>
        <v>1</v>
      </c>
    </row>
    <row r="9" spans="2:8" x14ac:dyDescent="0.25">
      <c r="B9" s="12" t="s">
        <v>11</v>
      </c>
      <c r="C9" s="13" t="s">
        <v>12</v>
      </c>
      <c r="E9" s="14" t="s">
        <v>13</v>
      </c>
      <c r="F9" s="19" t="str">
        <f>IFERROR(Rangliste!$C$5,"—")</f>
        <v>Lukas Berger</v>
      </c>
    </row>
    <row r="10" spans="2:8" x14ac:dyDescent="0.25">
      <c r="B10" s="12" t="s">
        <v>14</v>
      </c>
      <c r="C10" s="13" t="s">
        <v>15</v>
      </c>
      <c r="E10" s="14" t="s">
        <v>16</v>
      </c>
      <c r="F10" s="15" t="str">
        <f>IF(F6=F7,Rangliste!$C$5,"offen (Turnier läuft)")</f>
        <v>Lukas Berger</v>
      </c>
    </row>
    <row r="11" spans="2:8" ht="30" x14ac:dyDescent="0.25">
      <c r="B11" s="12" t="s">
        <v>17</v>
      </c>
      <c r="C11" s="13" t="s">
        <v>18</v>
      </c>
    </row>
    <row r="12" spans="2:8" ht="30" x14ac:dyDescent="0.25">
      <c r="B12" s="12" t="s">
        <v>19</v>
      </c>
      <c r="C12" s="13" t="s">
        <v>20</v>
      </c>
    </row>
    <row r="13" spans="2:8" x14ac:dyDescent="0.25">
      <c r="B13" s="12" t="s">
        <v>21</v>
      </c>
      <c r="C13" s="20">
        <f>COUNTA(Teilnehmer!$B$4:$B$11)</f>
        <v>8</v>
      </c>
    </row>
    <row r="14" spans="2:8" ht="15" customHeight="1" x14ac:dyDescent="0.25">
      <c r="B14" s="9" t="s">
        <v>22</v>
      </c>
      <c r="C14" s="9"/>
      <c r="D14" s="9"/>
      <c r="E14" s="9"/>
      <c r="F14" s="9"/>
      <c r="G14" s="9"/>
      <c r="H14" s="9"/>
    </row>
    <row r="16" spans="2:8" ht="19.5" customHeight="1" x14ac:dyDescent="0.25">
      <c r="B16" s="8" t="s">
        <v>23</v>
      </c>
      <c r="C16" s="8"/>
      <c r="D16" s="7" t="s">
        <v>24</v>
      </c>
      <c r="E16" s="7"/>
      <c r="F16" s="6" t="s">
        <v>25</v>
      </c>
      <c r="G16" s="6"/>
    </row>
    <row r="17" spans="2:8" ht="24" customHeight="1" x14ac:dyDescent="0.25">
      <c r="B17" s="5" t="str">
        <f>IFERROR(Rangliste!$C$5,"—")</f>
        <v>Lukas Berger</v>
      </c>
      <c r="C17" s="5"/>
      <c r="D17" s="5" t="str">
        <f>IFERROR(Rangliste!$C$6,"—")</f>
        <v>Ben Krüger</v>
      </c>
      <c r="E17" s="5"/>
      <c r="F17" s="5" t="str">
        <f>IFERROR(Rangliste!$C$7,"—")</f>
        <v>Elias Braun</v>
      </c>
      <c r="G17" s="5"/>
    </row>
    <row r="18" spans="2:8" ht="18" customHeight="1" x14ac:dyDescent="0.25">
      <c r="B18" s="4" t="str">
        <f>IFERROR("Punkte: "&amp;Rangliste!$K$5&amp;"  |  Satzdiff.: "&amp;TEXT(Rangliste!$J$5,"+0;-0;0"),"")</f>
        <v>Punkte: 12  |  Satzdiff.: +10</v>
      </c>
      <c r="C18" s="4"/>
      <c r="D18" s="4" t="str">
        <f>IFERROR("Punkte: "&amp;Rangliste!$K$6&amp;"  |  Satzdiff.: "&amp;TEXT(Rangliste!$J$6,"+0;-0;0"),"")</f>
        <v>Punkte: 8  |  Satzdiff.: +4</v>
      </c>
      <c r="E18" s="4"/>
      <c r="F18" s="4" t="str">
        <f>IFERROR("Punkte: "&amp;Rangliste!$K$7&amp;"  |  Satzdiff.: "&amp;TEXT(Rangliste!$J$7,"+0;-0;0"),"")</f>
        <v>Punkte: 8  |  Satzdiff.: +2</v>
      </c>
      <c r="G18" s="4"/>
    </row>
    <row r="21" spans="2:8" ht="15" customHeight="1" x14ac:dyDescent="0.25">
      <c r="B21" s="9" t="s">
        <v>26</v>
      </c>
      <c r="C21" s="9"/>
      <c r="D21" s="9"/>
      <c r="E21" s="9"/>
      <c r="F21" s="9"/>
      <c r="G21" s="9"/>
      <c r="H21" s="9"/>
    </row>
    <row r="22" spans="2:8" ht="15" customHeight="1" x14ac:dyDescent="0.25">
      <c r="B22" s="3" t="s">
        <v>27</v>
      </c>
      <c r="C22" s="3"/>
      <c r="D22" s="3"/>
      <c r="E22" s="3"/>
      <c r="F22" s="3"/>
      <c r="G22" s="3"/>
      <c r="H22" s="3"/>
    </row>
    <row r="23" spans="2:8" ht="15" customHeight="1" x14ac:dyDescent="0.25">
      <c r="B23" s="3" t="s">
        <v>28</v>
      </c>
      <c r="C23" s="3"/>
      <c r="D23" s="3"/>
      <c r="E23" s="3"/>
      <c r="F23" s="3"/>
      <c r="G23" s="3"/>
      <c r="H23" s="3"/>
    </row>
    <row r="24" spans="2:8" ht="15" customHeight="1" x14ac:dyDescent="0.25">
      <c r="B24" s="3" t="s">
        <v>29</v>
      </c>
      <c r="C24" s="3"/>
      <c r="D24" s="3"/>
      <c r="E24" s="3"/>
      <c r="F24" s="3"/>
      <c r="G24" s="3"/>
      <c r="H24" s="3"/>
    </row>
    <row r="25" spans="2:8" ht="15" customHeight="1" x14ac:dyDescent="0.25">
      <c r="B25" s="2" t="s">
        <v>30</v>
      </c>
      <c r="C25" s="2"/>
      <c r="D25" s="2"/>
      <c r="E25" s="2"/>
      <c r="F25" s="2"/>
      <c r="G25" s="2"/>
      <c r="H25" s="2"/>
    </row>
    <row r="26" spans="2:8" ht="15" customHeight="1" x14ac:dyDescent="0.25">
      <c r="B26" s="2" t="s">
        <v>31</v>
      </c>
      <c r="C26" s="2"/>
      <c r="D26" s="2"/>
      <c r="E26" s="2"/>
      <c r="F26" s="2"/>
      <c r="G26" s="2"/>
      <c r="H26" s="2"/>
    </row>
  </sheetData>
  <mergeCells count="20">
    <mergeCell ref="B23:H23"/>
    <mergeCell ref="B24:H24"/>
    <mergeCell ref="B25:H25"/>
    <mergeCell ref="B26:H26"/>
    <mergeCell ref="B18:C18"/>
    <mergeCell ref="D18:E18"/>
    <mergeCell ref="F18:G18"/>
    <mergeCell ref="B21:H21"/>
    <mergeCell ref="B22:H22"/>
    <mergeCell ref="B16:C16"/>
    <mergeCell ref="D16:E16"/>
    <mergeCell ref="F16:G16"/>
    <mergeCell ref="B17:C17"/>
    <mergeCell ref="D17:E17"/>
    <mergeCell ref="F17:G17"/>
    <mergeCell ref="B2:H2"/>
    <mergeCell ref="B3:H3"/>
    <mergeCell ref="B5:C5"/>
    <mergeCell ref="E5:F5"/>
    <mergeCell ref="B14:H14"/>
  </mergeCells>
  <conditionalFormatting sqref="F8">
    <cfRule type="dataBar" priority="2">
      <dataBar>
        <cfvo type="num" val="0"/>
        <cfvo type="num" val="1"/>
        <color rgb="FFED7D31"/>
      </dataBar>
      <extLst>
        <ext xmlns:x14="http://schemas.microsoft.com/office/spreadsheetml/2009/9/main" uri="{B025F937-C7B1-47D3-B67F-A62EFF666E3E}">
          <x14:id>{35FD6F63-9F70-4CEF-A8C0-F85C224146B7}</x14:id>
        </ext>
      </extLst>
    </cfRule>
  </conditionalFormatting>
  <printOptions horizontalCentered="1"/>
  <pageMargins left="0.75" right="0.75" top="1" bottom="1" header="0.511811023622047" footer="0.511811023622047"/>
  <pageSetup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FD6F63-9F70-4CEF-A8C0-F85C224146B7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ED7D31"/>
            </x14:dataBar>
          </x14:cfRule>
          <xm:sqref>F8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10" customWidth="1"/>
    <col min="2" max="3" width="30" customWidth="1"/>
    <col min="4" max="4" width="12" customWidth="1"/>
  </cols>
  <sheetData>
    <row r="1" spans="1:4" ht="33.75" customHeight="1" x14ac:dyDescent="0.25">
      <c r="A1" s="11" t="s">
        <v>32</v>
      </c>
      <c r="B1" s="11"/>
      <c r="C1" s="11"/>
      <c r="D1" s="11"/>
    </row>
    <row r="2" spans="1:4" ht="18" customHeight="1" x14ac:dyDescent="0.25">
      <c r="A2" s="1" t="s">
        <v>33</v>
      </c>
      <c r="B2" s="1"/>
      <c r="C2" s="1"/>
      <c r="D2" s="1"/>
    </row>
    <row r="3" spans="1:4" ht="21.75" customHeight="1" x14ac:dyDescent="0.25">
      <c r="A3" s="21" t="s">
        <v>34</v>
      </c>
      <c r="B3" s="21" t="s">
        <v>35</v>
      </c>
      <c r="C3" s="21" t="s">
        <v>36</v>
      </c>
      <c r="D3" s="21" t="s">
        <v>37</v>
      </c>
    </row>
    <row r="4" spans="1:4" ht="19.5" customHeight="1" x14ac:dyDescent="0.25">
      <c r="A4" s="22">
        <v>1</v>
      </c>
      <c r="B4" s="13" t="s">
        <v>38</v>
      </c>
      <c r="C4" s="13" t="s">
        <v>39</v>
      </c>
      <c r="D4" s="23">
        <v>1</v>
      </c>
    </row>
    <row r="5" spans="1:4" ht="19.5" customHeight="1" x14ac:dyDescent="0.25">
      <c r="A5" s="22">
        <v>2</v>
      </c>
      <c r="B5" s="13" t="s">
        <v>40</v>
      </c>
      <c r="C5" s="13" t="s">
        <v>41</v>
      </c>
      <c r="D5" s="23">
        <v>2</v>
      </c>
    </row>
    <row r="6" spans="1:4" ht="19.5" customHeight="1" x14ac:dyDescent="0.25">
      <c r="A6" s="22">
        <v>3</v>
      </c>
      <c r="B6" s="13" t="s">
        <v>42</v>
      </c>
      <c r="C6" s="13" t="s">
        <v>43</v>
      </c>
      <c r="D6" s="23">
        <v>3</v>
      </c>
    </row>
    <row r="7" spans="1:4" ht="19.5" customHeight="1" x14ac:dyDescent="0.25">
      <c r="A7" s="22">
        <v>4</v>
      </c>
      <c r="B7" s="13" t="s">
        <v>44</v>
      </c>
      <c r="C7" s="13" t="s">
        <v>45</v>
      </c>
      <c r="D7" s="23">
        <v>4</v>
      </c>
    </row>
    <row r="8" spans="1:4" ht="19.5" customHeight="1" x14ac:dyDescent="0.25">
      <c r="A8" s="22">
        <v>5</v>
      </c>
      <c r="B8" s="13" t="s">
        <v>46</v>
      </c>
      <c r="C8" s="13" t="s">
        <v>47</v>
      </c>
      <c r="D8" s="23">
        <v>5</v>
      </c>
    </row>
    <row r="9" spans="1:4" ht="19.5" customHeight="1" x14ac:dyDescent="0.25">
      <c r="A9" s="22">
        <v>6</v>
      </c>
      <c r="B9" s="13" t="s">
        <v>48</v>
      </c>
      <c r="C9" s="13" t="s">
        <v>39</v>
      </c>
      <c r="D9" s="23">
        <v>6</v>
      </c>
    </row>
    <row r="10" spans="1:4" ht="19.5" customHeight="1" x14ac:dyDescent="0.25">
      <c r="A10" s="22">
        <v>7</v>
      </c>
      <c r="B10" s="13" t="s">
        <v>49</v>
      </c>
      <c r="C10" s="13" t="s">
        <v>41</v>
      </c>
      <c r="D10" s="23">
        <v>7</v>
      </c>
    </row>
    <row r="11" spans="1:4" ht="19.5" customHeight="1" x14ac:dyDescent="0.25">
      <c r="A11" s="22">
        <v>8</v>
      </c>
      <c r="B11" s="13" t="s">
        <v>50</v>
      </c>
      <c r="C11" s="13" t="s">
        <v>43</v>
      </c>
      <c r="D11" s="23">
        <v>8</v>
      </c>
    </row>
    <row r="13" spans="1:4" ht="15" customHeight="1" x14ac:dyDescent="0.25">
      <c r="A13" s="2" t="s">
        <v>51</v>
      </c>
      <c r="B13" s="2"/>
      <c r="C13" s="2"/>
      <c r="D13" s="2"/>
    </row>
  </sheetData>
  <mergeCells count="3">
    <mergeCell ref="A1:D1"/>
    <mergeCell ref="A2:D2"/>
    <mergeCell ref="A13:D13"/>
  </mergeCells>
  <printOptions horizontalCentered="1"/>
  <pageMargins left="0.75" right="0.75" top="1" bottom="1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9" customWidth="1"/>
    <col min="2" max="2" width="8" customWidth="1"/>
    <col min="3" max="3" width="13" customWidth="1"/>
    <col min="4" max="4" width="9" customWidth="1"/>
    <col min="5" max="6" width="7" customWidth="1"/>
    <col min="7" max="7" width="22" customWidth="1"/>
    <col min="8" max="8" width="7" customWidth="1"/>
    <col min="9" max="9" width="22" customWidth="1"/>
    <col min="10" max="11" width="9" customWidth="1"/>
    <col min="12" max="12" width="20" customWidth="1"/>
  </cols>
  <sheetData>
    <row r="1" spans="1:12" ht="33.75" customHeight="1" x14ac:dyDescent="0.25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" t="s">
        <v>53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5.5" customHeight="1" x14ac:dyDescent="0.25">
      <c r="A3" s="24" t="s">
        <v>54</v>
      </c>
      <c r="B3" s="24" t="s">
        <v>55</v>
      </c>
      <c r="C3" s="24" t="s">
        <v>6</v>
      </c>
      <c r="D3" s="24" t="s">
        <v>56</v>
      </c>
      <c r="E3" s="24" t="s">
        <v>57</v>
      </c>
      <c r="F3" s="24" t="s">
        <v>58</v>
      </c>
      <c r="G3" s="24" t="s">
        <v>59</v>
      </c>
      <c r="H3" s="24" t="s">
        <v>60</v>
      </c>
      <c r="I3" s="24" t="s">
        <v>61</v>
      </c>
      <c r="J3" s="24" t="s">
        <v>62</v>
      </c>
      <c r="K3" s="24" t="s">
        <v>63</v>
      </c>
      <c r="L3" s="24" t="s">
        <v>64</v>
      </c>
    </row>
    <row r="4" spans="1:12" ht="18" customHeight="1" x14ac:dyDescent="0.25">
      <c r="A4" s="25">
        <v>1</v>
      </c>
      <c r="B4" s="26">
        <v>1</v>
      </c>
      <c r="C4" s="27">
        <v>46095</v>
      </c>
      <c r="D4" s="28">
        <v>0.41666666666666702</v>
      </c>
      <c r="E4" s="26">
        <v>1</v>
      </c>
      <c r="F4" s="29">
        <v>1</v>
      </c>
      <c r="G4" s="30" t="str">
        <f>IFERROR(INDEX(Teilnehmer!$B$4:$B$11,MATCH(F4,Teilnehmer!$A$4:$A$11,0)),"")</f>
        <v>Lukas Berger</v>
      </c>
      <c r="H4" s="29">
        <v>8</v>
      </c>
      <c r="I4" s="30" t="str">
        <f>IFERROR(INDEX(Teilnehmer!$B$4:$B$11,MATCH(H4,Teilnehmer!$A$4:$A$11,0)),"")</f>
        <v>Leon Neumann</v>
      </c>
      <c r="J4" s="31">
        <v>3</v>
      </c>
      <c r="K4" s="31">
        <v>1</v>
      </c>
      <c r="L4" s="32" t="str">
        <f t="shared" ref="L4:L31" si="0">IF(OR(J4="",K4=""),"",IF(J4&gt;K4,G4,IF(K4&gt;J4,I4,"unentschieden")))</f>
        <v>Lukas Berger</v>
      </c>
    </row>
    <row r="5" spans="1:12" ht="18" customHeight="1" x14ac:dyDescent="0.25">
      <c r="A5" s="25">
        <v>2</v>
      </c>
      <c r="B5" s="26">
        <v>1</v>
      </c>
      <c r="C5" s="27">
        <v>46095</v>
      </c>
      <c r="D5" s="28">
        <v>0.41666666666666702</v>
      </c>
      <c r="E5" s="26">
        <v>2</v>
      </c>
      <c r="F5" s="29">
        <v>2</v>
      </c>
      <c r="G5" s="30" t="str">
        <f>IFERROR(INDEX(Teilnehmer!$B$4:$B$11,MATCH(F5,Teilnehmer!$A$4:$A$11,0)),"")</f>
        <v>Jonas Wagner</v>
      </c>
      <c r="H5" s="29">
        <v>7</v>
      </c>
      <c r="I5" s="30" t="str">
        <f>IFERROR(INDEX(Teilnehmer!$B$4:$B$11,MATCH(H5,Teilnehmer!$A$4:$A$11,0)),"")</f>
        <v>Paul Richter</v>
      </c>
      <c r="J5" s="31">
        <v>1</v>
      </c>
      <c r="K5" s="31">
        <v>3</v>
      </c>
      <c r="L5" s="32" t="str">
        <f t="shared" si="0"/>
        <v>Paul Richter</v>
      </c>
    </row>
    <row r="6" spans="1:12" ht="18" customHeight="1" x14ac:dyDescent="0.25">
      <c r="A6" s="25">
        <v>3</v>
      </c>
      <c r="B6" s="26">
        <v>1</v>
      </c>
      <c r="C6" s="27">
        <v>46095</v>
      </c>
      <c r="D6" s="28">
        <v>0.41666666666666702</v>
      </c>
      <c r="E6" s="26">
        <v>3</v>
      </c>
      <c r="F6" s="29">
        <v>3</v>
      </c>
      <c r="G6" s="30" t="str">
        <f>IFERROR(INDEX(Teilnehmer!$B$4:$B$11,MATCH(F6,Teilnehmer!$A$4:$A$11,0)),"")</f>
        <v>Finn Hoffmann</v>
      </c>
      <c r="H6" s="29">
        <v>6</v>
      </c>
      <c r="I6" s="30" t="str">
        <f>IFERROR(INDEX(Teilnehmer!$B$4:$B$11,MATCH(H6,Teilnehmer!$A$4:$A$11,0)),"")</f>
        <v>Ben Krüger</v>
      </c>
      <c r="J6" s="31">
        <v>1</v>
      </c>
      <c r="K6" s="31">
        <v>3</v>
      </c>
      <c r="L6" s="32" t="str">
        <f t="shared" si="0"/>
        <v>Ben Krüger</v>
      </c>
    </row>
    <row r="7" spans="1:12" ht="18" customHeight="1" x14ac:dyDescent="0.25">
      <c r="A7" s="25">
        <v>4</v>
      </c>
      <c r="B7" s="26">
        <v>1</v>
      </c>
      <c r="C7" s="27">
        <v>46095</v>
      </c>
      <c r="D7" s="28">
        <v>0.41666666666666702</v>
      </c>
      <c r="E7" s="26">
        <v>4</v>
      </c>
      <c r="F7" s="29">
        <v>4</v>
      </c>
      <c r="G7" s="30" t="str">
        <f>IFERROR(INDEX(Teilnehmer!$B$4:$B$11,MATCH(F7,Teilnehmer!$A$4:$A$11,0)),"")</f>
        <v>Elias Braun</v>
      </c>
      <c r="H7" s="29">
        <v>5</v>
      </c>
      <c r="I7" s="30" t="str">
        <f>IFERROR(INDEX(Teilnehmer!$B$4:$B$11,MATCH(H7,Teilnehmer!$A$4:$A$11,0)),"")</f>
        <v>Noah Schäfer</v>
      </c>
      <c r="J7" s="31">
        <v>2</v>
      </c>
      <c r="K7" s="31">
        <v>3</v>
      </c>
      <c r="L7" s="32" t="str">
        <f t="shared" si="0"/>
        <v>Noah Schäfer</v>
      </c>
    </row>
    <row r="8" spans="1:12" ht="18" customHeight="1" x14ac:dyDescent="0.25">
      <c r="A8" s="33">
        <v>5</v>
      </c>
      <c r="B8" s="34">
        <v>2</v>
      </c>
      <c r="C8" s="35">
        <v>46095</v>
      </c>
      <c r="D8" s="36">
        <v>0.4375</v>
      </c>
      <c r="E8" s="34">
        <v>1</v>
      </c>
      <c r="F8" s="37">
        <v>1</v>
      </c>
      <c r="G8" s="38" t="str">
        <f>IFERROR(INDEX(Teilnehmer!$B$4:$B$11,MATCH(F8,Teilnehmer!$A$4:$A$11,0)),"")</f>
        <v>Lukas Berger</v>
      </c>
      <c r="H8" s="37">
        <v>7</v>
      </c>
      <c r="I8" s="38" t="str">
        <f>IFERROR(INDEX(Teilnehmer!$B$4:$B$11,MATCH(H8,Teilnehmer!$A$4:$A$11,0)),"")</f>
        <v>Paul Richter</v>
      </c>
      <c r="J8" s="31">
        <v>3</v>
      </c>
      <c r="K8" s="31">
        <v>1</v>
      </c>
      <c r="L8" s="39" t="str">
        <f t="shared" si="0"/>
        <v>Lukas Berger</v>
      </c>
    </row>
    <row r="9" spans="1:12" ht="18" customHeight="1" x14ac:dyDescent="0.25">
      <c r="A9" s="33">
        <v>6</v>
      </c>
      <c r="B9" s="34">
        <v>2</v>
      </c>
      <c r="C9" s="35">
        <v>46095</v>
      </c>
      <c r="D9" s="36">
        <v>0.4375</v>
      </c>
      <c r="E9" s="34">
        <v>2</v>
      </c>
      <c r="F9" s="37">
        <v>8</v>
      </c>
      <c r="G9" s="38" t="str">
        <f>IFERROR(INDEX(Teilnehmer!$B$4:$B$11,MATCH(F9,Teilnehmer!$A$4:$A$11,0)),"")</f>
        <v>Leon Neumann</v>
      </c>
      <c r="H9" s="37">
        <v>6</v>
      </c>
      <c r="I9" s="38" t="str">
        <f>IFERROR(INDEX(Teilnehmer!$B$4:$B$11,MATCH(H9,Teilnehmer!$A$4:$A$11,0)),"")</f>
        <v>Ben Krüger</v>
      </c>
      <c r="J9" s="31">
        <v>0</v>
      </c>
      <c r="K9" s="31">
        <v>3</v>
      </c>
      <c r="L9" s="39" t="str">
        <f t="shared" si="0"/>
        <v>Ben Krüger</v>
      </c>
    </row>
    <row r="10" spans="1:12" ht="18" customHeight="1" x14ac:dyDescent="0.25">
      <c r="A10" s="33">
        <v>7</v>
      </c>
      <c r="B10" s="34">
        <v>2</v>
      </c>
      <c r="C10" s="35">
        <v>46095</v>
      </c>
      <c r="D10" s="36">
        <v>0.4375</v>
      </c>
      <c r="E10" s="34">
        <v>3</v>
      </c>
      <c r="F10" s="37">
        <v>2</v>
      </c>
      <c r="G10" s="38" t="str">
        <f>IFERROR(INDEX(Teilnehmer!$B$4:$B$11,MATCH(F10,Teilnehmer!$A$4:$A$11,0)),"")</f>
        <v>Jonas Wagner</v>
      </c>
      <c r="H10" s="37">
        <v>5</v>
      </c>
      <c r="I10" s="38" t="str">
        <f>IFERROR(INDEX(Teilnehmer!$B$4:$B$11,MATCH(H10,Teilnehmer!$A$4:$A$11,0)),"")</f>
        <v>Noah Schäfer</v>
      </c>
      <c r="J10" s="31">
        <v>2</v>
      </c>
      <c r="K10" s="31">
        <v>3</v>
      </c>
      <c r="L10" s="39" t="str">
        <f t="shared" si="0"/>
        <v>Noah Schäfer</v>
      </c>
    </row>
    <row r="11" spans="1:12" ht="18" customHeight="1" x14ac:dyDescent="0.25">
      <c r="A11" s="33">
        <v>8</v>
      </c>
      <c r="B11" s="34">
        <v>2</v>
      </c>
      <c r="C11" s="35">
        <v>46095</v>
      </c>
      <c r="D11" s="36">
        <v>0.4375</v>
      </c>
      <c r="E11" s="34">
        <v>4</v>
      </c>
      <c r="F11" s="37">
        <v>3</v>
      </c>
      <c r="G11" s="38" t="str">
        <f>IFERROR(INDEX(Teilnehmer!$B$4:$B$11,MATCH(F11,Teilnehmer!$A$4:$A$11,0)),"")</f>
        <v>Finn Hoffmann</v>
      </c>
      <c r="H11" s="37">
        <v>4</v>
      </c>
      <c r="I11" s="38" t="str">
        <f>IFERROR(INDEX(Teilnehmer!$B$4:$B$11,MATCH(H11,Teilnehmer!$A$4:$A$11,0)),"")</f>
        <v>Elias Braun</v>
      </c>
      <c r="J11" s="31">
        <v>2</v>
      </c>
      <c r="K11" s="31">
        <v>3</v>
      </c>
      <c r="L11" s="39" t="str">
        <f t="shared" si="0"/>
        <v>Elias Braun</v>
      </c>
    </row>
    <row r="12" spans="1:12" ht="18" customHeight="1" x14ac:dyDescent="0.25">
      <c r="A12" s="25">
        <v>9</v>
      </c>
      <c r="B12" s="26">
        <v>3</v>
      </c>
      <c r="C12" s="27">
        <v>46095</v>
      </c>
      <c r="D12" s="28">
        <v>0.45833333333333298</v>
      </c>
      <c r="E12" s="26">
        <v>1</v>
      </c>
      <c r="F12" s="29">
        <v>1</v>
      </c>
      <c r="G12" s="30" t="str">
        <f>IFERROR(INDEX(Teilnehmer!$B$4:$B$11,MATCH(F12,Teilnehmer!$A$4:$A$11,0)),"")</f>
        <v>Lukas Berger</v>
      </c>
      <c r="H12" s="29">
        <v>6</v>
      </c>
      <c r="I12" s="30" t="str">
        <f>IFERROR(INDEX(Teilnehmer!$B$4:$B$11,MATCH(H12,Teilnehmer!$A$4:$A$11,0)),"")</f>
        <v>Ben Krüger</v>
      </c>
      <c r="J12" s="31">
        <v>3</v>
      </c>
      <c r="K12" s="31">
        <v>2</v>
      </c>
      <c r="L12" s="32" t="str">
        <f t="shared" si="0"/>
        <v>Lukas Berger</v>
      </c>
    </row>
    <row r="13" spans="1:12" ht="18" customHeight="1" x14ac:dyDescent="0.25">
      <c r="A13" s="25">
        <v>10</v>
      </c>
      <c r="B13" s="26">
        <v>3</v>
      </c>
      <c r="C13" s="27">
        <v>46095</v>
      </c>
      <c r="D13" s="28">
        <v>0.45833333333333298</v>
      </c>
      <c r="E13" s="26">
        <v>2</v>
      </c>
      <c r="F13" s="29">
        <v>7</v>
      </c>
      <c r="G13" s="30" t="str">
        <f>IFERROR(INDEX(Teilnehmer!$B$4:$B$11,MATCH(F13,Teilnehmer!$A$4:$A$11,0)),"")</f>
        <v>Paul Richter</v>
      </c>
      <c r="H13" s="29">
        <v>5</v>
      </c>
      <c r="I13" s="30" t="str">
        <f>IFERROR(INDEX(Teilnehmer!$B$4:$B$11,MATCH(H13,Teilnehmer!$A$4:$A$11,0)),"")</f>
        <v>Noah Schäfer</v>
      </c>
      <c r="J13" s="31">
        <v>3</v>
      </c>
      <c r="K13" s="31">
        <v>0</v>
      </c>
      <c r="L13" s="32" t="str">
        <f t="shared" si="0"/>
        <v>Paul Richter</v>
      </c>
    </row>
    <row r="14" spans="1:12" ht="18" customHeight="1" x14ac:dyDescent="0.25">
      <c r="A14" s="25">
        <v>11</v>
      </c>
      <c r="B14" s="26">
        <v>3</v>
      </c>
      <c r="C14" s="27">
        <v>46095</v>
      </c>
      <c r="D14" s="28">
        <v>0.45833333333333298</v>
      </c>
      <c r="E14" s="26">
        <v>3</v>
      </c>
      <c r="F14" s="29">
        <v>8</v>
      </c>
      <c r="G14" s="30" t="str">
        <f>IFERROR(INDEX(Teilnehmer!$B$4:$B$11,MATCH(F14,Teilnehmer!$A$4:$A$11,0)),"")</f>
        <v>Leon Neumann</v>
      </c>
      <c r="H14" s="29">
        <v>4</v>
      </c>
      <c r="I14" s="30" t="str">
        <f>IFERROR(INDEX(Teilnehmer!$B$4:$B$11,MATCH(H14,Teilnehmer!$A$4:$A$11,0)),"")</f>
        <v>Elias Braun</v>
      </c>
      <c r="J14" s="31">
        <v>1</v>
      </c>
      <c r="K14" s="31">
        <v>3</v>
      </c>
      <c r="L14" s="32" t="str">
        <f t="shared" si="0"/>
        <v>Elias Braun</v>
      </c>
    </row>
    <row r="15" spans="1:12" ht="18" customHeight="1" x14ac:dyDescent="0.25">
      <c r="A15" s="25">
        <v>12</v>
      </c>
      <c r="B15" s="26">
        <v>3</v>
      </c>
      <c r="C15" s="27">
        <v>46095</v>
      </c>
      <c r="D15" s="28">
        <v>0.45833333333333298</v>
      </c>
      <c r="E15" s="26">
        <v>4</v>
      </c>
      <c r="F15" s="29">
        <v>2</v>
      </c>
      <c r="G15" s="30" t="str">
        <f>IFERROR(INDEX(Teilnehmer!$B$4:$B$11,MATCH(F15,Teilnehmer!$A$4:$A$11,0)),"")</f>
        <v>Jonas Wagner</v>
      </c>
      <c r="H15" s="29">
        <v>3</v>
      </c>
      <c r="I15" s="30" t="str">
        <f>IFERROR(INDEX(Teilnehmer!$B$4:$B$11,MATCH(H15,Teilnehmer!$A$4:$A$11,0)),"")</f>
        <v>Finn Hoffmann</v>
      </c>
      <c r="J15" s="31">
        <v>2</v>
      </c>
      <c r="K15" s="31">
        <v>3</v>
      </c>
      <c r="L15" s="32" t="str">
        <f t="shared" si="0"/>
        <v>Finn Hoffmann</v>
      </c>
    </row>
    <row r="16" spans="1:12" ht="18" customHeight="1" x14ac:dyDescent="0.25">
      <c r="A16" s="33">
        <v>13</v>
      </c>
      <c r="B16" s="34">
        <v>4</v>
      </c>
      <c r="C16" s="35">
        <v>46095</v>
      </c>
      <c r="D16" s="36">
        <v>0.47916666666666702</v>
      </c>
      <c r="E16" s="34">
        <v>1</v>
      </c>
      <c r="F16" s="37">
        <v>1</v>
      </c>
      <c r="G16" s="38" t="str">
        <f>IFERROR(INDEX(Teilnehmer!$B$4:$B$11,MATCH(F16,Teilnehmer!$A$4:$A$11,0)),"")</f>
        <v>Lukas Berger</v>
      </c>
      <c r="H16" s="37">
        <v>5</v>
      </c>
      <c r="I16" s="38" t="str">
        <f>IFERROR(INDEX(Teilnehmer!$B$4:$B$11,MATCH(H16,Teilnehmer!$A$4:$A$11,0)),"")</f>
        <v>Noah Schäfer</v>
      </c>
      <c r="J16" s="31">
        <v>3</v>
      </c>
      <c r="K16" s="31">
        <v>1</v>
      </c>
      <c r="L16" s="39" t="str">
        <f t="shared" si="0"/>
        <v>Lukas Berger</v>
      </c>
    </row>
    <row r="17" spans="1:12" ht="18" customHeight="1" x14ac:dyDescent="0.25">
      <c r="A17" s="33">
        <v>14</v>
      </c>
      <c r="B17" s="34">
        <v>4</v>
      </c>
      <c r="C17" s="35">
        <v>46095</v>
      </c>
      <c r="D17" s="36">
        <v>0.47916666666666702</v>
      </c>
      <c r="E17" s="34">
        <v>2</v>
      </c>
      <c r="F17" s="37">
        <v>6</v>
      </c>
      <c r="G17" s="38" t="str">
        <f>IFERROR(INDEX(Teilnehmer!$B$4:$B$11,MATCH(F17,Teilnehmer!$A$4:$A$11,0)),"")</f>
        <v>Ben Krüger</v>
      </c>
      <c r="H17" s="37">
        <v>4</v>
      </c>
      <c r="I17" s="38" t="str">
        <f>IFERROR(INDEX(Teilnehmer!$B$4:$B$11,MATCH(H17,Teilnehmer!$A$4:$A$11,0)),"")</f>
        <v>Elias Braun</v>
      </c>
      <c r="J17" s="31">
        <v>3</v>
      </c>
      <c r="K17" s="31">
        <v>2</v>
      </c>
      <c r="L17" s="39" t="str">
        <f t="shared" si="0"/>
        <v>Ben Krüger</v>
      </c>
    </row>
    <row r="18" spans="1:12" ht="18" customHeight="1" x14ac:dyDescent="0.25">
      <c r="A18" s="33">
        <v>15</v>
      </c>
      <c r="B18" s="34">
        <v>4</v>
      </c>
      <c r="C18" s="35">
        <v>46095</v>
      </c>
      <c r="D18" s="36">
        <v>0.47916666666666702</v>
      </c>
      <c r="E18" s="34">
        <v>3</v>
      </c>
      <c r="F18" s="37">
        <v>7</v>
      </c>
      <c r="G18" s="38" t="str">
        <f>IFERROR(INDEX(Teilnehmer!$B$4:$B$11,MATCH(F18,Teilnehmer!$A$4:$A$11,0)),"")</f>
        <v>Paul Richter</v>
      </c>
      <c r="H18" s="37">
        <v>3</v>
      </c>
      <c r="I18" s="38" t="str">
        <f>IFERROR(INDEX(Teilnehmer!$B$4:$B$11,MATCH(H18,Teilnehmer!$A$4:$A$11,0)),"")</f>
        <v>Finn Hoffmann</v>
      </c>
      <c r="J18" s="31">
        <v>2</v>
      </c>
      <c r="K18" s="31">
        <v>3</v>
      </c>
      <c r="L18" s="39" t="str">
        <f t="shared" si="0"/>
        <v>Finn Hoffmann</v>
      </c>
    </row>
    <row r="19" spans="1:12" ht="18" customHeight="1" x14ac:dyDescent="0.25">
      <c r="A19" s="33">
        <v>16</v>
      </c>
      <c r="B19" s="34">
        <v>4</v>
      </c>
      <c r="C19" s="35">
        <v>46095</v>
      </c>
      <c r="D19" s="36">
        <v>0.47916666666666702</v>
      </c>
      <c r="E19" s="34">
        <v>4</v>
      </c>
      <c r="F19" s="37">
        <v>8</v>
      </c>
      <c r="G19" s="38" t="str">
        <f>IFERROR(INDEX(Teilnehmer!$B$4:$B$11,MATCH(F19,Teilnehmer!$A$4:$A$11,0)),"")</f>
        <v>Leon Neumann</v>
      </c>
      <c r="H19" s="37">
        <v>2</v>
      </c>
      <c r="I19" s="38" t="str">
        <f>IFERROR(INDEX(Teilnehmer!$B$4:$B$11,MATCH(H19,Teilnehmer!$A$4:$A$11,0)),"")</f>
        <v>Jonas Wagner</v>
      </c>
      <c r="J19" s="31">
        <v>2</v>
      </c>
      <c r="K19" s="31">
        <v>3</v>
      </c>
      <c r="L19" s="39" t="str">
        <f t="shared" si="0"/>
        <v>Jonas Wagner</v>
      </c>
    </row>
    <row r="20" spans="1:12" ht="18" customHeight="1" x14ac:dyDescent="0.25">
      <c r="A20" s="25">
        <v>17</v>
      </c>
      <c r="B20" s="26">
        <v>5</v>
      </c>
      <c r="C20" s="27">
        <v>46095</v>
      </c>
      <c r="D20" s="28">
        <v>0.5</v>
      </c>
      <c r="E20" s="26">
        <v>1</v>
      </c>
      <c r="F20" s="29">
        <v>1</v>
      </c>
      <c r="G20" s="30" t="str">
        <f>IFERROR(INDEX(Teilnehmer!$B$4:$B$11,MATCH(F20,Teilnehmer!$A$4:$A$11,0)),"")</f>
        <v>Lukas Berger</v>
      </c>
      <c r="H20" s="29">
        <v>4</v>
      </c>
      <c r="I20" s="30" t="str">
        <f>IFERROR(INDEX(Teilnehmer!$B$4:$B$11,MATCH(H20,Teilnehmer!$A$4:$A$11,0)),"")</f>
        <v>Elias Braun</v>
      </c>
      <c r="J20" s="31">
        <v>2</v>
      </c>
      <c r="K20" s="31">
        <v>3</v>
      </c>
      <c r="L20" s="32" t="str">
        <f t="shared" si="0"/>
        <v>Elias Braun</v>
      </c>
    </row>
    <row r="21" spans="1:12" ht="18" customHeight="1" x14ac:dyDescent="0.25">
      <c r="A21" s="25">
        <v>18</v>
      </c>
      <c r="B21" s="26">
        <v>5</v>
      </c>
      <c r="C21" s="27">
        <v>46095</v>
      </c>
      <c r="D21" s="28">
        <v>0.5</v>
      </c>
      <c r="E21" s="26">
        <v>2</v>
      </c>
      <c r="F21" s="29">
        <v>5</v>
      </c>
      <c r="G21" s="30" t="str">
        <f>IFERROR(INDEX(Teilnehmer!$B$4:$B$11,MATCH(F21,Teilnehmer!$A$4:$A$11,0)),"")</f>
        <v>Noah Schäfer</v>
      </c>
      <c r="H21" s="29">
        <v>3</v>
      </c>
      <c r="I21" s="30" t="str">
        <f>IFERROR(INDEX(Teilnehmer!$B$4:$B$11,MATCH(H21,Teilnehmer!$A$4:$A$11,0)),"")</f>
        <v>Finn Hoffmann</v>
      </c>
      <c r="J21" s="31">
        <v>3</v>
      </c>
      <c r="K21" s="31">
        <v>0</v>
      </c>
      <c r="L21" s="32" t="str">
        <f t="shared" si="0"/>
        <v>Noah Schäfer</v>
      </c>
    </row>
    <row r="22" spans="1:12" ht="18" customHeight="1" x14ac:dyDescent="0.25">
      <c r="A22" s="25">
        <v>19</v>
      </c>
      <c r="B22" s="26">
        <v>5</v>
      </c>
      <c r="C22" s="27">
        <v>46095</v>
      </c>
      <c r="D22" s="28">
        <v>0.5</v>
      </c>
      <c r="E22" s="26">
        <v>3</v>
      </c>
      <c r="F22" s="29">
        <v>6</v>
      </c>
      <c r="G22" s="30" t="str">
        <f>IFERROR(INDEX(Teilnehmer!$B$4:$B$11,MATCH(F22,Teilnehmer!$A$4:$A$11,0)),"")</f>
        <v>Ben Krüger</v>
      </c>
      <c r="H22" s="29">
        <v>2</v>
      </c>
      <c r="I22" s="30" t="str">
        <f>IFERROR(INDEX(Teilnehmer!$B$4:$B$11,MATCH(H22,Teilnehmer!$A$4:$A$11,0)),"")</f>
        <v>Jonas Wagner</v>
      </c>
      <c r="J22" s="31">
        <v>1</v>
      </c>
      <c r="K22" s="31">
        <v>3</v>
      </c>
      <c r="L22" s="32" t="str">
        <f t="shared" si="0"/>
        <v>Jonas Wagner</v>
      </c>
    </row>
    <row r="23" spans="1:12" ht="18" customHeight="1" x14ac:dyDescent="0.25">
      <c r="A23" s="25">
        <v>20</v>
      </c>
      <c r="B23" s="26">
        <v>5</v>
      </c>
      <c r="C23" s="27">
        <v>46095</v>
      </c>
      <c r="D23" s="28">
        <v>0.5</v>
      </c>
      <c r="E23" s="26">
        <v>4</v>
      </c>
      <c r="F23" s="29">
        <v>7</v>
      </c>
      <c r="G23" s="30" t="str">
        <f>IFERROR(INDEX(Teilnehmer!$B$4:$B$11,MATCH(F23,Teilnehmer!$A$4:$A$11,0)),"")</f>
        <v>Paul Richter</v>
      </c>
      <c r="H23" s="29">
        <v>8</v>
      </c>
      <c r="I23" s="30" t="str">
        <f>IFERROR(INDEX(Teilnehmer!$B$4:$B$11,MATCH(H23,Teilnehmer!$A$4:$A$11,0)),"")</f>
        <v>Leon Neumann</v>
      </c>
      <c r="J23" s="31">
        <v>2</v>
      </c>
      <c r="K23" s="31">
        <v>3</v>
      </c>
      <c r="L23" s="32" t="str">
        <f t="shared" si="0"/>
        <v>Leon Neumann</v>
      </c>
    </row>
    <row r="24" spans="1:12" ht="18" customHeight="1" x14ac:dyDescent="0.25">
      <c r="A24" s="33">
        <v>21</v>
      </c>
      <c r="B24" s="34">
        <v>6</v>
      </c>
      <c r="C24" s="35">
        <v>46095</v>
      </c>
      <c r="D24" s="36">
        <v>0.52083333333333304</v>
      </c>
      <c r="E24" s="34">
        <v>1</v>
      </c>
      <c r="F24" s="37">
        <v>1</v>
      </c>
      <c r="G24" s="38" t="str">
        <f>IFERROR(INDEX(Teilnehmer!$B$4:$B$11,MATCH(F24,Teilnehmer!$A$4:$A$11,0)),"")</f>
        <v>Lukas Berger</v>
      </c>
      <c r="H24" s="37">
        <v>3</v>
      </c>
      <c r="I24" s="38" t="str">
        <f>IFERROR(INDEX(Teilnehmer!$B$4:$B$11,MATCH(H24,Teilnehmer!$A$4:$A$11,0)),"")</f>
        <v>Finn Hoffmann</v>
      </c>
      <c r="J24" s="31">
        <v>3</v>
      </c>
      <c r="K24" s="31">
        <v>1</v>
      </c>
      <c r="L24" s="39" t="str">
        <f t="shared" si="0"/>
        <v>Lukas Berger</v>
      </c>
    </row>
    <row r="25" spans="1:12" ht="18" customHeight="1" x14ac:dyDescent="0.25">
      <c r="A25" s="33">
        <v>22</v>
      </c>
      <c r="B25" s="34">
        <v>6</v>
      </c>
      <c r="C25" s="35">
        <v>46095</v>
      </c>
      <c r="D25" s="36">
        <v>0.52083333333333304</v>
      </c>
      <c r="E25" s="34">
        <v>2</v>
      </c>
      <c r="F25" s="37">
        <v>4</v>
      </c>
      <c r="G25" s="38" t="str">
        <f>IFERROR(INDEX(Teilnehmer!$B$4:$B$11,MATCH(F25,Teilnehmer!$A$4:$A$11,0)),"")</f>
        <v>Elias Braun</v>
      </c>
      <c r="H25" s="37">
        <v>2</v>
      </c>
      <c r="I25" s="38" t="str">
        <f>IFERROR(INDEX(Teilnehmer!$B$4:$B$11,MATCH(H25,Teilnehmer!$A$4:$A$11,0)),"")</f>
        <v>Jonas Wagner</v>
      </c>
      <c r="J25" s="31">
        <v>1</v>
      </c>
      <c r="K25" s="31">
        <v>3</v>
      </c>
      <c r="L25" s="39" t="str">
        <f t="shared" si="0"/>
        <v>Jonas Wagner</v>
      </c>
    </row>
    <row r="26" spans="1:12" ht="18" customHeight="1" x14ac:dyDescent="0.25">
      <c r="A26" s="33">
        <v>23</v>
      </c>
      <c r="B26" s="34">
        <v>6</v>
      </c>
      <c r="C26" s="35">
        <v>46095</v>
      </c>
      <c r="D26" s="36">
        <v>0.52083333333333304</v>
      </c>
      <c r="E26" s="34">
        <v>3</v>
      </c>
      <c r="F26" s="37">
        <v>5</v>
      </c>
      <c r="G26" s="38" t="str">
        <f>IFERROR(INDEX(Teilnehmer!$B$4:$B$11,MATCH(F26,Teilnehmer!$A$4:$A$11,0)),"")</f>
        <v>Noah Schäfer</v>
      </c>
      <c r="H26" s="37">
        <v>8</v>
      </c>
      <c r="I26" s="38" t="str">
        <f>IFERROR(INDEX(Teilnehmer!$B$4:$B$11,MATCH(H26,Teilnehmer!$A$4:$A$11,0)),"")</f>
        <v>Leon Neumann</v>
      </c>
      <c r="J26" s="31">
        <v>3</v>
      </c>
      <c r="K26" s="31">
        <v>2</v>
      </c>
      <c r="L26" s="39" t="str">
        <f t="shared" si="0"/>
        <v>Noah Schäfer</v>
      </c>
    </row>
    <row r="27" spans="1:12" ht="18" customHeight="1" x14ac:dyDescent="0.25">
      <c r="A27" s="33">
        <v>24</v>
      </c>
      <c r="B27" s="34">
        <v>6</v>
      </c>
      <c r="C27" s="35">
        <v>46095</v>
      </c>
      <c r="D27" s="36">
        <v>0.52083333333333304</v>
      </c>
      <c r="E27" s="34">
        <v>4</v>
      </c>
      <c r="F27" s="37">
        <v>6</v>
      </c>
      <c r="G27" s="38" t="str">
        <f>IFERROR(INDEX(Teilnehmer!$B$4:$B$11,MATCH(F27,Teilnehmer!$A$4:$A$11,0)),"")</f>
        <v>Ben Krüger</v>
      </c>
      <c r="H27" s="37">
        <v>7</v>
      </c>
      <c r="I27" s="38" t="str">
        <f>IFERROR(INDEX(Teilnehmer!$B$4:$B$11,MATCH(H27,Teilnehmer!$A$4:$A$11,0)),"")</f>
        <v>Paul Richter</v>
      </c>
      <c r="J27" s="31">
        <v>2</v>
      </c>
      <c r="K27" s="31">
        <v>3</v>
      </c>
      <c r="L27" s="39" t="str">
        <f t="shared" si="0"/>
        <v>Paul Richter</v>
      </c>
    </row>
    <row r="28" spans="1:12" ht="18" customHeight="1" x14ac:dyDescent="0.25">
      <c r="A28" s="25">
        <v>25</v>
      </c>
      <c r="B28" s="26">
        <v>7</v>
      </c>
      <c r="C28" s="27">
        <v>46095</v>
      </c>
      <c r="D28" s="28">
        <v>0.54166666666666696</v>
      </c>
      <c r="E28" s="26">
        <v>1</v>
      </c>
      <c r="F28" s="29">
        <v>1</v>
      </c>
      <c r="G28" s="30" t="str">
        <f>IFERROR(INDEX(Teilnehmer!$B$4:$B$11,MATCH(F28,Teilnehmer!$A$4:$A$11,0)),"")</f>
        <v>Lukas Berger</v>
      </c>
      <c r="H28" s="29">
        <v>2</v>
      </c>
      <c r="I28" s="30" t="str">
        <f>IFERROR(INDEX(Teilnehmer!$B$4:$B$11,MATCH(H28,Teilnehmer!$A$4:$A$11,0)),"")</f>
        <v>Jonas Wagner</v>
      </c>
      <c r="J28" s="31">
        <v>3</v>
      </c>
      <c r="K28" s="31">
        <v>1</v>
      </c>
      <c r="L28" s="32" t="str">
        <f t="shared" si="0"/>
        <v>Lukas Berger</v>
      </c>
    </row>
    <row r="29" spans="1:12" ht="18" customHeight="1" x14ac:dyDescent="0.25">
      <c r="A29" s="25">
        <v>26</v>
      </c>
      <c r="B29" s="26">
        <v>7</v>
      </c>
      <c r="C29" s="27">
        <v>46095</v>
      </c>
      <c r="D29" s="28">
        <v>0.54166666666666696</v>
      </c>
      <c r="E29" s="26">
        <v>2</v>
      </c>
      <c r="F29" s="29">
        <v>3</v>
      </c>
      <c r="G29" s="30" t="str">
        <f>IFERROR(INDEX(Teilnehmer!$B$4:$B$11,MATCH(F29,Teilnehmer!$A$4:$A$11,0)),"")</f>
        <v>Finn Hoffmann</v>
      </c>
      <c r="H29" s="29">
        <v>8</v>
      </c>
      <c r="I29" s="30" t="str">
        <f>IFERROR(INDEX(Teilnehmer!$B$4:$B$11,MATCH(H29,Teilnehmer!$A$4:$A$11,0)),"")</f>
        <v>Leon Neumann</v>
      </c>
      <c r="J29" s="31">
        <v>3</v>
      </c>
      <c r="K29" s="31">
        <v>0</v>
      </c>
      <c r="L29" s="32" t="str">
        <f t="shared" si="0"/>
        <v>Finn Hoffmann</v>
      </c>
    </row>
    <row r="30" spans="1:12" ht="18" customHeight="1" x14ac:dyDescent="0.25">
      <c r="A30" s="25">
        <v>27</v>
      </c>
      <c r="B30" s="26">
        <v>7</v>
      </c>
      <c r="C30" s="27">
        <v>46095</v>
      </c>
      <c r="D30" s="28">
        <v>0.54166666666666696</v>
      </c>
      <c r="E30" s="26">
        <v>3</v>
      </c>
      <c r="F30" s="29">
        <v>4</v>
      </c>
      <c r="G30" s="30" t="str">
        <f>IFERROR(INDEX(Teilnehmer!$B$4:$B$11,MATCH(F30,Teilnehmer!$A$4:$A$11,0)),"")</f>
        <v>Elias Braun</v>
      </c>
      <c r="H30" s="29">
        <v>7</v>
      </c>
      <c r="I30" s="30" t="str">
        <f>IFERROR(INDEX(Teilnehmer!$B$4:$B$11,MATCH(H30,Teilnehmer!$A$4:$A$11,0)),"")</f>
        <v>Paul Richter</v>
      </c>
      <c r="J30" s="31">
        <v>3</v>
      </c>
      <c r="K30" s="31">
        <v>1</v>
      </c>
      <c r="L30" s="32" t="str">
        <f t="shared" si="0"/>
        <v>Elias Braun</v>
      </c>
    </row>
    <row r="31" spans="1:12" ht="18" customHeight="1" x14ac:dyDescent="0.25">
      <c r="A31" s="25">
        <v>28</v>
      </c>
      <c r="B31" s="26">
        <v>7</v>
      </c>
      <c r="C31" s="27">
        <v>46095</v>
      </c>
      <c r="D31" s="28">
        <v>0.54166666666666696</v>
      </c>
      <c r="E31" s="26">
        <v>4</v>
      </c>
      <c r="F31" s="29">
        <v>5</v>
      </c>
      <c r="G31" s="30" t="str">
        <f>IFERROR(INDEX(Teilnehmer!$B$4:$B$11,MATCH(F31,Teilnehmer!$A$4:$A$11,0)),"")</f>
        <v>Noah Schäfer</v>
      </c>
      <c r="H31" s="29">
        <v>6</v>
      </c>
      <c r="I31" s="30" t="str">
        <f>IFERROR(INDEX(Teilnehmer!$B$4:$B$11,MATCH(H31,Teilnehmer!$A$4:$A$11,0)),"")</f>
        <v>Ben Krüger</v>
      </c>
      <c r="J31" s="31">
        <v>1</v>
      </c>
      <c r="K31" s="31">
        <v>3</v>
      </c>
      <c r="L31" s="32" t="str">
        <f t="shared" si="0"/>
        <v>Ben Krüger</v>
      </c>
    </row>
  </sheetData>
  <mergeCells count="2">
    <mergeCell ref="A1:L1"/>
    <mergeCell ref="A2:L2"/>
  </mergeCells>
  <dataValidations count="1">
    <dataValidation type="whole" allowBlank="1" errorTitle="Ungültige Eingabe" error="Bitte einen Wert zwischen 0 und 3 eingeben." promptTitle="Sätze" prompt="Gewonnene Sätze (0–3)." sqref="J4:K31" xr:uid="{00000000-0002-0000-0200-000000000000}">
      <formula1>0</formula1>
      <formula2>3</formula2>
    </dataValidation>
  </dataValidations>
  <printOptions horizontalCentered="1"/>
  <pageMargins left="0.75" right="0.75" top="1" bottom="1" header="0.511811023622047" footer="0.511811023622047"/>
  <pageSetup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41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8" customWidth="1"/>
    <col min="2" max="9" width="11" customWidth="1"/>
    <col min="10" max="10" width="10" customWidth="1"/>
    <col min="11" max="11" width="9" customWidth="1"/>
    <col min="14" max="25" width="13" hidden="1" customWidth="1"/>
  </cols>
  <sheetData>
    <row r="1" spans="1:25" ht="33.75" customHeight="1" x14ac:dyDescent="0.25">
      <c r="A1" s="11" t="s">
        <v>65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25" ht="18" customHeight="1" x14ac:dyDescent="0.25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25" ht="27.75" customHeight="1" x14ac:dyDescent="0.25">
      <c r="A4" s="24" t="s">
        <v>67</v>
      </c>
      <c r="B4" s="24" t="s">
        <v>34</v>
      </c>
      <c r="C4" s="24" t="s">
        <v>35</v>
      </c>
      <c r="D4" s="24" t="s">
        <v>36</v>
      </c>
      <c r="E4" s="24" t="s">
        <v>68</v>
      </c>
      <c r="F4" s="24" t="s">
        <v>69</v>
      </c>
      <c r="G4" s="24" t="s">
        <v>70</v>
      </c>
      <c r="H4" s="24" t="s">
        <v>71</v>
      </c>
      <c r="I4" s="24" t="s">
        <v>72</v>
      </c>
      <c r="J4" s="24" t="s">
        <v>73</v>
      </c>
      <c r="K4" s="24" t="s">
        <v>74</v>
      </c>
      <c r="N4" s="40" t="s">
        <v>75</v>
      </c>
    </row>
    <row r="5" spans="1:25" ht="18.75" customHeight="1" x14ac:dyDescent="0.25">
      <c r="A5" s="41">
        <v>1</v>
      </c>
      <c r="B5" s="42">
        <f t="shared" ref="B5:B12" si="0">IFERROR(INDEX($N$5:$N$12,MATCH(A5,$Y$5:$Y$12,0)),"")</f>
        <v>1</v>
      </c>
      <c r="C5" s="43" t="str">
        <f t="shared" ref="C5:C12" si="1">IFERROR(INDEX($O$5:$O$12,MATCH(A5,$Y$5:$Y$12,0)),"")</f>
        <v>Lukas Berger</v>
      </c>
      <c r="D5" s="44" t="str">
        <f t="shared" ref="D5:D12" si="2">IFERROR(INDEX($P$5:$P$12,MATCH(A5,$Y$5:$Y$12,0)),"")</f>
        <v>TTC Falkensee</v>
      </c>
      <c r="E5" s="42">
        <f t="shared" ref="E5:E12" si="3">IFERROR(INDEX($Q$5:$Q$12,MATCH(A5,$Y$5:$Y$12,0)),"")</f>
        <v>7</v>
      </c>
      <c r="F5" s="42">
        <f t="shared" ref="F5:F12" si="4">IFERROR(INDEX($R$5:$R$12,MATCH(A5,$Y$5:$Y$12,0)),"")</f>
        <v>6</v>
      </c>
      <c r="G5" s="42">
        <f t="shared" ref="G5:G12" si="5">IFERROR(INDEX($S$5:$S$12,MATCH(A5,$Y$5:$Y$12,0)),"")</f>
        <v>1</v>
      </c>
      <c r="H5" s="42">
        <f t="shared" ref="H5:H12" si="6">IFERROR(INDEX($T$5:$T$12,MATCH(A5,$Y$5:$Y$12,0)),"")</f>
        <v>20</v>
      </c>
      <c r="I5" s="42">
        <f t="shared" ref="I5:I12" si="7">IFERROR(INDEX($U$5:$U$12,MATCH(A5,$Y$5:$Y$12,0)),"")</f>
        <v>10</v>
      </c>
      <c r="J5" s="45">
        <f t="shared" ref="J5:J12" si="8">IFERROR(INDEX($V$5:$V$12,MATCH(A5,$Y$5:$Y$12,0)),"")</f>
        <v>10</v>
      </c>
      <c r="K5" s="46">
        <f t="shared" ref="K5:K12" si="9">IFERROR(INDEX($W$5:$W$12,MATCH(A5,$Y$5:$Y$12,0)),"")</f>
        <v>12</v>
      </c>
      <c r="N5" s="47">
        <v>1</v>
      </c>
      <c r="O5" s="47" t="str">
        <f>IFERROR(INDEX(Teilnehmer!$B$4:$B$11,MATCH(N5,Teilnehmer!$A$4:$A$11,0)),"")</f>
        <v>Lukas Berger</v>
      </c>
      <c r="P5" s="47" t="str">
        <f>IFERROR(INDEX(Teilnehmer!$C$4:$C$11,MATCH(N5,Teilnehmer!$A$4:$A$11,0)),"")</f>
        <v>TTC Falkensee</v>
      </c>
      <c r="Q5" s="47">
        <f>COUNTIFS(Spielplan!$F$4:$F$31,N5,Spielplan!$L$4:$L$31,"&lt;&gt;")+COUNTIFS(Spielplan!$H$4:$H$31,N5,Spielplan!$L$4:$L$31,"&lt;&gt;")</f>
        <v>7</v>
      </c>
      <c r="R5" s="47">
        <f>COUNTIF(Spielplan!$L$4:$L$31,O5)</f>
        <v>6</v>
      </c>
      <c r="S5" s="47">
        <f t="shared" ref="S5:S12" si="10">Q5-R5</f>
        <v>1</v>
      </c>
      <c r="T5" s="47">
        <f>SUMIFS(Spielplan!$J$4:$J$31,Spielplan!$F$4:$F$31,N5)+SUMIFS(Spielplan!$K$4:$K$31,Spielplan!$H$4:$H$31,N5)</f>
        <v>20</v>
      </c>
      <c r="U5" s="47">
        <f>SUMIFS(Spielplan!$K$4:$K$31,Spielplan!$F$4:$F$31,N5)+SUMIFS(Spielplan!$J$4:$J$31,Spielplan!$H$4:$H$31,N5)</f>
        <v>10</v>
      </c>
      <c r="V5" s="47">
        <f t="shared" ref="V5:V12" si="11">T5-U5</f>
        <v>10</v>
      </c>
      <c r="W5" s="47">
        <f t="shared" ref="W5:W12" si="12">R5*2</f>
        <v>12</v>
      </c>
      <c r="X5" s="47">
        <f t="shared" ref="X5:X12" si="13">W5*10000+V5*100+T5-N5*0.01</f>
        <v>121019.99</v>
      </c>
      <c r="Y5" s="47">
        <f t="shared" ref="Y5:Y12" si="14">RANK(X5,$X$5:$X$12)</f>
        <v>1</v>
      </c>
    </row>
    <row r="6" spans="1:25" ht="18.75" customHeight="1" x14ac:dyDescent="0.25">
      <c r="A6" s="48">
        <v>2</v>
      </c>
      <c r="B6" s="49">
        <f t="shared" si="0"/>
        <v>6</v>
      </c>
      <c r="C6" s="50" t="str">
        <f t="shared" si="1"/>
        <v>Ben Krüger</v>
      </c>
      <c r="D6" s="51" t="str">
        <f t="shared" si="2"/>
        <v>TTC Falkensee</v>
      </c>
      <c r="E6" s="49">
        <f t="shared" si="3"/>
        <v>7</v>
      </c>
      <c r="F6" s="49">
        <f t="shared" si="4"/>
        <v>4</v>
      </c>
      <c r="G6" s="49">
        <f t="shared" si="5"/>
        <v>3</v>
      </c>
      <c r="H6" s="49">
        <f t="shared" si="6"/>
        <v>17</v>
      </c>
      <c r="I6" s="49">
        <f t="shared" si="7"/>
        <v>13</v>
      </c>
      <c r="J6" s="52">
        <f t="shared" si="8"/>
        <v>4</v>
      </c>
      <c r="K6" s="53">
        <f t="shared" si="9"/>
        <v>8</v>
      </c>
      <c r="N6" s="47">
        <v>2</v>
      </c>
      <c r="O6" s="47" t="str">
        <f>IFERROR(INDEX(Teilnehmer!$B$4:$B$11,MATCH(N6,Teilnehmer!$A$4:$A$11,0)),"")</f>
        <v>Jonas Wagner</v>
      </c>
      <c r="P6" s="47" t="str">
        <f>IFERROR(INDEX(Teilnehmer!$C$4:$C$11,MATCH(N6,Teilnehmer!$A$4:$A$11,0)),"")</f>
        <v>SV Rot-Weiß Norden</v>
      </c>
      <c r="Q6" s="47">
        <f>COUNTIFS(Spielplan!$F$4:$F$31,N6,Spielplan!$L$4:$L$31,"&lt;&gt;")+COUNTIFS(Spielplan!$H$4:$H$31,N6,Spielplan!$L$4:$L$31,"&lt;&gt;")</f>
        <v>7</v>
      </c>
      <c r="R6" s="47">
        <f>COUNTIF(Spielplan!$L$4:$L$31,O6)</f>
        <v>3</v>
      </c>
      <c r="S6" s="47">
        <f t="shared" si="10"/>
        <v>4</v>
      </c>
      <c r="T6" s="47">
        <f>SUMIFS(Spielplan!$J$4:$J$31,Spielplan!$F$4:$F$31,N6)+SUMIFS(Spielplan!$K$4:$K$31,Spielplan!$H$4:$H$31,N6)</f>
        <v>15</v>
      </c>
      <c r="U6" s="47">
        <f>SUMIFS(Spielplan!$K$4:$K$31,Spielplan!$F$4:$F$31,N6)+SUMIFS(Spielplan!$J$4:$J$31,Spielplan!$H$4:$H$31,N6)</f>
        <v>16</v>
      </c>
      <c r="V6" s="47">
        <f t="shared" si="11"/>
        <v>-1</v>
      </c>
      <c r="W6" s="47">
        <f t="shared" si="12"/>
        <v>6</v>
      </c>
      <c r="X6" s="47">
        <f t="shared" si="13"/>
        <v>59914.98</v>
      </c>
      <c r="Y6" s="47">
        <f t="shared" si="14"/>
        <v>6</v>
      </c>
    </row>
    <row r="7" spans="1:25" ht="18.75" customHeight="1" x14ac:dyDescent="0.25">
      <c r="A7" s="48">
        <v>3</v>
      </c>
      <c r="B7" s="26">
        <f t="shared" si="0"/>
        <v>4</v>
      </c>
      <c r="C7" s="54" t="str">
        <f t="shared" si="1"/>
        <v>Elias Braun</v>
      </c>
      <c r="D7" s="30" t="str">
        <f t="shared" si="2"/>
        <v>TTF Lindental</v>
      </c>
      <c r="E7" s="26">
        <f t="shared" si="3"/>
        <v>7</v>
      </c>
      <c r="F7" s="26">
        <f t="shared" si="4"/>
        <v>4</v>
      </c>
      <c r="G7" s="26">
        <f t="shared" si="5"/>
        <v>3</v>
      </c>
      <c r="H7" s="26">
        <f t="shared" si="6"/>
        <v>17</v>
      </c>
      <c r="I7" s="26">
        <f t="shared" si="7"/>
        <v>15</v>
      </c>
      <c r="J7" s="55">
        <f t="shared" si="8"/>
        <v>2</v>
      </c>
      <c r="K7" s="25">
        <f t="shared" si="9"/>
        <v>8</v>
      </c>
      <c r="N7" s="47">
        <v>3</v>
      </c>
      <c r="O7" s="47" t="str">
        <f>IFERROR(INDEX(Teilnehmer!$B$4:$B$11,MATCH(N7,Teilnehmer!$A$4:$A$11,0)),"")</f>
        <v>Finn Hoffmann</v>
      </c>
      <c r="P7" s="47" t="str">
        <f>IFERROR(INDEX(Teilnehmer!$C$4:$C$11,MATCH(N7,Teilnehmer!$A$4:$A$11,0)),"")</f>
        <v>TSV Eichenau</v>
      </c>
      <c r="Q7" s="47">
        <f>COUNTIFS(Spielplan!$F$4:$F$31,N7,Spielplan!$L$4:$L$31,"&lt;&gt;")+COUNTIFS(Spielplan!$H$4:$H$31,N7,Spielplan!$L$4:$L$31,"&lt;&gt;")</f>
        <v>7</v>
      </c>
      <c r="R7" s="47">
        <f>COUNTIF(Spielplan!$L$4:$L$31,O7)</f>
        <v>3</v>
      </c>
      <c r="S7" s="47">
        <f t="shared" si="10"/>
        <v>4</v>
      </c>
      <c r="T7" s="47">
        <f>SUMIFS(Spielplan!$J$4:$J$31,Spielplan!$F$4:$F$31,N7)+SUMIFS(Spielplan!$K$4:$K$31,Spielplan!$H$4:$H$31,N7)</f>
        <v>13</v>
      </c>
      <c r="U7" s="47">
        <f>SUMIFS(Spielplan!$K$4:$K$31,Spielplan!$F$4:$F$31,N7)+SUMIFS(Spielplan!$J$4:$J$31,Spielplan!$H$4:$H$31,N7)</f>
        <v>16</v>
      </c>
      <c r="V7" s="47">
        <f t="shared" si="11"/>
        <v>-3</v>
      </c>
      <c r="W7" s="47">
        <f t="shared" si="12"/>
        <v>6</v>
      </c>
      <c r="X7" s="47">
        <f t="shared" si="13"/>
        <v>59712.97</v>
      </c>
      <c r="Y7" s="47">
        <f t="shared" si="14"/>
        <v>7</v>
      </c>
    </row>
    <row r="8" spans="1:25" ht="18.75" customHeight="1" x14ac:dyDescent="0.25">
      <c r="A8" s="48">
        <v>4</v>
      </c>
      <c r="B8" s="49">
        <f t="shared" si="0"/>
        <v>5</v>
      </c>
      <c r="C8" s="50" t="str">
        <f t="shared" si="1"/>
        <v>Noah Schäfer</v>
      </c>
      <c r="D8" s="51" t="str">
        <f t="shared" si="2"/>
        <v>SG Auental</v>
      </c>
      <c r="E8" s="49">
        <f t="shared" si="3"/>
        <v>7</v>
      </c>
      <c r="F8" s="49">
        <f t="shared" si="4"/>
        <v>4</v>
      </c>
      <c r="G8" s="49">
        <f t="shared" si="5"/>
        <v>3</v>
      </c>
      <c r="H8" s="49">
        <f t="shared" si="6"/>
        <v>14</v>
      </c>
      <c r="I8" s="49">
        <f t="shared" si="7"/>
        <v>15</v>
      </c>
      <c r="J8" s="52">
        <f t="shared" si="8"/>
        <v>-1</v>
      </c>
      <c r="K8" s="53">
        <f t="shared" si="9"/>
        <v>8</v>
      </c>
      <c r="N8" s="47">
        <v>4</v>
      </c>
      <c r="O8" s="47" t="str">
        <f>IFERROR(INDEX(Teilnehmer!$B$4:$B$11,MATCH(N8,Teilnehmer!$A$4:$A$11,0)),"")</f>
        <v>Elias Braun</v>
      </c>
      <c r="P8" s="47" t="str">
        <f>IFERROR(INDEX(Teilnehmer!$C$4:$C$11,MATCH(N8,Teilnehmer!$A$4:$A$11,0)),"")</f>
        <v>TTF Lindental</v>
      </c>
      <c r="Q8" s="47">
        <f>COUNTIFS(Spielplan!$F$4:$F$31,N8,Spielplan!$L$4:$L$31,"&lt;&gt;")+COUNTIFS(Spielplan!$H$4:$H$31,N8,Spielplan!$L$4:$L$31,"&lt;&gt;")</f>
        <v>7</v>
      </c>
      <c r="R8" s="47">
        <f>COUNTIF(Spielplan!$L$4:$L$31,O8)</f>
        <v>4</v>
      </c>
      <c r="S8" s="47">
        <f t="shared" si="10"/>
        <v>3</v>
      </c>
      <c r="T8" s="47">
        <f>SUMIFS(Spielplan!$J$4:$J$31,Spielplan!$F$4:$F$31,N8)+SUMIFS(Spielplan!$K$4:$K$31,Spielplan!$H$4:$H$31,N8)</f>
        <v>17</v>
      </c>
      <c r="U8" s="47">
        <f>SUMIFS(Spielplan!$K$4:$K$31,Spielplan!$F$4:$F$31,N8)+SUMIFS(Spielplan!$J$4:$J$31,Spielplan!$H$4:$H$31,N8)</f>
        <v>15</v>
      </c>
      <c r="V8" s="47">
        <f t="shared" si="11"/>
        <v>2</v>
      </c>
      <c r="W8" s="47">
        <f t="shared" si="12"/>
        <v>8</v>
      </c>
      <c r="X8" s="47">
        <f t="shared" si="13"/>
        <v>80216.960000000006</v>
      </c>
      <c r="Y8" s="47">
        <f t="shared" si="14"/>
        <v>3</v>
      </c>
    </row>
    <row r="9" spans="1:25" ht="18.75" customHeight="1" x14ac:dyDescent="0.25">
      <c r="A9" s="48">
        <v>5</v>
      </c>
      <c r="B9" s="26">
        <f t="shared" si="0"/>
        <v>7</v>
      </c>
      <c r="C9" s="54" t="str">
        <f t="shared" si="1"/>
        <v>Paul Richter</v>
      </c>
      <c r="D9" s="30" t="str">
        <f t="shared" si="2"/>
        <v>SV Rot-Weiß Norden</v>
      </c>
      <c r="E9" s="26">
        <f t="shared" si="3"/>
        <v>7</v>
      </c>
      <c r="F9" s="26">
        <f t="shared" si="4"/>
        <v>3</v>
      </c>
      <c r="G9" s="26">
        <f t="shared" si="5"/>
        <v>4</v>
      </c>
      <c r="H9" s="26">
        <f t="shared" si="6"/>
        <v>15</v>
      </c>
      <c r="I9" s="26">
        <f t="shared" si="7"/>
        <v>15</v>
      </c>
      <c r="J9" s="55">
        <f t="shared" si="8"/>
        <v>0</v>
      </c>
      <c r="K9" s="25">
        <f t="shared" si="9"/>
        <v>6</v>
      </c>
      <c r="N9" s="47">
        <v>5</v>
      </c>
      <c r="O9" s="47" t="str">
        <f>IFERROR(INDEX(Teilnehmer!$B$4:$B$11,MATCH(N9,Teilnehmer!$A$4:$A$11,0)),"")</f>
        <v>Noah Schäfer</v>
      </c>
      <c r="P9" s="47" t="str">
        <f>IFERROR(INDEX(Teilnehmer!$C$4:$C$11,MATCH(N9,Teilnehmer!$A$4:$A$11,0)),"")</f>
        <v>SG Auental</v>
      </c>
      <c r="Q9" s="47">
        <f>COUNTIFS(Spielplan!$F$4:$F$31,N9,Spielplan!$L$4:$L$31,"&lt;&gt;")+COUNTIFS(Spielplan!$H$4:$H$31,N9,Spielplan!$L$4:$L$31,"&lt;&gt;")</f>
        <v>7</v>
      </c>
      <c r="R9" s="47">
        <f>COUNTIF(Spielplan!$L$4:$L$31,O9)</f>
        <v>4</v>
      </c>
      <c r="S9" s="47">
        <f t="shared" si="10"/>
        <v>3</v>
      </c>
      <c r="T9" s="47">
        <f>SUMIFS(Spielplan!$J$4:$J$31,Spielplan!$F$4:$F$31,N9)+SUMIFS(Spielplan!$K$4:$K$31,Spielplan!$H$4:$H$31,N9)</f>
        <v>14</v>
      </c>
      <c r="U9" s="47">
        <f>SUMIFS(Spielplan!$K$4:$K$31,Spielplan!$F$4:$F$31,N9)+SUMIFS(Spielplan!$J$4:$J$31,Spielplan!$H$4:$H$31,N9)</f>
        <v>15</v>
      </c>
      <c r="V9" s="47">
        <f t="shared" si="11"/>
        <v>-1</v>
      </c>
      <c r="W9" s="47">
        <f t="shared" si="12"/>
        <v>8</v>
      </c>
      <c r="X9" s="47">
        <f t="shared" si="13"/>
        <v>79913.95</v>
      </c>
      <c r="Y9" s="47">
        <f t="shared" si="14"/>
        <v>4</v>
      </c>
    </row>
    <row r="10" spans="1:25" ht="18.75" customHeight="1" x14ac:dyDescent="0.25">
      <c r="A10" s="48">
        <v>6</v>
      </c>
      <c r="B10" s="49">
        <f t="shared" si="0"/>
        <v>2</v>
      </c>
      <c r="C10" s="50" t="str">
        <f t="shared" si="1"/>
        <v>Jonas Wagner</v>
      </c>
      <c r="D10" s="51" t="str">
        <f t="shared" si="2"/>
        <v>SV Rot-Weiß Norden</v>
      </c>
      <c r="E10" s="49">
        <f t="shared" si="3"/>
        <v>7</v>
      </c>
      <c r="F10" s="49">
        <f t="shared" si="4"/>
        <v>3</v>
      </c>
      <c r="G10" s="49">
        <f t="shared" si="5"/>
        <v>4</v>
      </c>
      <c r="H10" s="49">
        <f t="shared" si="6"/>
        <v>15</v>
      </c>
      <c r="I10" s="49">
        <f t="shared" si="7"/>
        <v>16</v>
      </c>
      <c r="J10" s="52">
        <f t="shared" si="8"/>
        <v>-1</v>
      </c>
      <c r="K10" s="53">
        <f t="shared" si="9"/>
        <v>6</v>
      </c>
      <c r="N10" s="47">
        <v>6</v>
      </c>
      <c r="O10" s="47" t="str">
        <f>IFERROR(INDEX(Teilnehmer!$B$4:$B$11,MATCH(N10,Teilnehmer!$A$4:$A$11,0)),"")</f>
        <v>Ben Krüger</v>
      </c>
      <c r="P10" s="47" t="str">
        <f>IFERROR(INDEX(Teilnehmer!$C$4:$C$11,MATCH(N10,Teilnehmer!$A$4:$A$11,0)),"")</f>
        <v>TTC Falkensee</v>
      </c>
      <c r="Q10" s="47">
        <f>COUNTIFS(Spielplan!$F$4:$F$31,N10,Spielplan!$L$4:$L$31,"&lt;&gt;")+COUNTIFS(Spielplan!$H$4:$H$31,N10,Spielplan!$L$4:$L$31,"&lt;&gt;")</f>
        <v>7</v>
      </c>
      <c r="R10" s="47">
        <f>COUNTIF(Spielplan!$L$4:$L$31,O10)</f>
        <v>4</v>
      </c>
      <c r="S10" s="47">
        <f t="shared" si="10"/>
        <v>3</v>
      </c>
      <c r="T10" s="47">
        <f>SUMIFS(Spielplan!$J$4:$J$31,Spielplan!$F$4:$F$31,N10)+SUMIFS(Spielplan!$K$4:$K$31,Spielplan!$H$4:$H$31,N10)</f>
        <v>17</v>
      </c>
      <c r="U10" s="47">
        <f>SUMIFS(Spielplan!$K$4:$K$31,Spielplan!$F$4:$F$31,N10)+SUMIFS(Spielplan!$J$4:$J$31,Spielplan!$H$4:$H$31,N10)</f>
        <v>13</v>
      </c>
      <c r="V10" s="47">
        <f t="shared" si="11"/>
        <v>4</v>
      </c>
      <c r="W10" s="47">
        <f t="shared" si="12"/>
        <v>8</v>
      </c>
      <c r="X10" s="47">
        <f t="shared" si="13"/>
        <v>80416.94</v>
      </c>
      <c r="Y10" s="47">
        <f t="shared" si="14"/>
        <v>2</v>
      </c>
    </row>
    <row r="11" spans="1:25" ht="18.75" customHeight="1" x14ac:dyDescent="0.25">
      <c r="A11" s="48">
        <v>7</v>
      </c>
      <c r="B11" s="26">
        <f t="shared" si="0"/>
        <v>3</v>
      </c>
      <c r="C11" s="54" t="str">
        <f t="shared" si="1"/>
        <v>Finn Hoffmann</v>
      </c>
      <c r="D11" s="30" t="str">
        <f t="shared" si="2"/>
        <v>TSV Eichenau</v>
      </c>
      <c r="E11" s="26">
        <f t="shared" si="3"/>
        <v>7</v>
      </c>
      <c r="F11" s="26">
        <f t="shared" si="4"/>
        <v>3</v>
      </c>
      <c r="G11" s="26">
        <f t="shared" si="5"/>
        <v>4</v>
      </c>
      <c r="H11" s="26">
        <f t="shared" si="6"/>
        <v>13</v>
      </c>
      <c r="I11" s="26">
        <f t="shared" si="7"/>
        <v>16</v>
      </c>
      <c r="J11" s="55">
        <f t="shared" si="8"/>
        <v>-3</v>
      </c>
      <c r="K11" s="25">
        <f t="shared" si="9"/>
        <v>6</v>
      </c>
      <c r="N11" s="47">
        <v>7</v>
      </c>
      <c r="O11" s="47" t="str">
        <f>IFERROR(INDEX(Teilnehmer!$B$4:$B$11,MATCH(N11,Teilnehmer!$A$4:$A$11,0)),"")</f>
        <v>Paul Richter</v>
      </c>
      <c r="P11" s="47" t="str">
        <f>IFERROR(INDEX(Teilnehmer!$C$4:$C$11,MATCH(N11,Teilnehmer!$A$4:$A$11,0)),"")</f>
        <v>SV Rot-Weiß Norden</v>
      </c>
      <c r="Q11" s="47">
        <f>COUNTIFS(Spielplan!$F$4:$F$31,N11,Spielplan!$L$4:$L$31,"&lt;&gt;")+COUNTIFS(Spielplan!$H$4:$H$31,N11,Spielplan!$L$4:$L$31,"&lt;&gt;")</f>
        <v>7</v>
      </c>
      <c r="R11" s="47">
        <f>COUNTIF(Spielplan!$L$4:$L$31,O11)</f>
        <v>3</v>
      </c>
      <c r="S11" s="47">
        <f t="shared" si="10"/>
        <v>4</v>
      </c>
      <c r="T11" s="47">
        <f>SUMIFS(Spielplan!$J$4:$J$31,Spielplan!$F$4:$F$31,N11)+SUMIFS(Spielplan!$K$4:$K$31,Spielplan!$H$4:$H$31,N11)</f>
        <v>15</v>
      </c>
      <c r="U11" s="47">
        <f>SUMIFS(Spielplan!$K$4:$K$31,Spielplan!$F$4:$F$31,N11)+SUMIFS(Spielplan!$J$4:$J$31,Spielplan!$H$4:$H$31,N11)</f>
        <v>15</v>
      </c>
      <c r="V11" s="47">
        <f t="shared" si="11"/>
        <v>0</v>
      </c>
      <c r="W11" s="47">
        <f t="shared" si="12"/>
        <v>6</v>
      </c>
      <c r="X11" s="47">
        <f t="shared" si="13"/>
        <v>60014.93</v>
      </c>
      <c r="Y11" s="47">
        <f t="shared" si="14"/>
        <v>5</v>
      </c>
    </row>
    <row r="12" spans="1:25" ht="18.75" customHeight="1" x14ac:dyDescent="0.25">
      <c r="A12" s="48">
        <v>8</v>
      </c>
      <c r="B12" s="49">
        <f t="shared" si="0"/>
        <v>8</v>
      </c>
      <c r="C12" s="50" t="str">
        <f t="shared" si="1"/>
        <v>Leon Neumann</v>
      </c>
      <c r="D12" s="51" t="str">
        <f t="shared" si="2"/>
        <v>TSV Eichenau</v>
      </c>
      <c r="E12" s="49">
        <f t="shared" si="3"/>
        <v>7</v>
      </c>
      <c r="F12" s="49">
        <f t="shared" si="4"/>
        <v>1</v>
      </c>
      <c r="G12" s="49">
        <f t="shared" si="5"/>
        <v>6</v>
      </c>
      <c r="H12" s="49">
        <f t="shared" si="6"/>
        <v>9</v>
      </c>
      <c r="I12" s="49">
        <f t="shared" si="7"/>
        <v>20</v>
      </c>
      <c r="J12" s="52">
        <f t="shared" si="8"/>
        <v>-11</v>
      </c>
      <c r="K12" s="53">
        <f t="shared" si="9"/>
        <v>2</v>
      </c>
      <c r="N12" s="47">
        <v>8</v>
      </c>
      <c r="O12" s="47" t="str">
        <f>IFERROR(INDEX(Teilnehmer!$B$4:$B$11,MATCH(N12,Teilnehmer!$A$4:$A$11,0)),"")</f>
        <v>Leon Neumann</v>
      </c>
      <c r="P12" s="47" t="str">
        <f>IFERROR(INDEX(Teilnehmer!$C$4:$C$11,MATCH(N12,Teilnehmer!$A$4:$A$11,0)),"")</f>
        <v>TSV Eichenau</v>
      </c>
      <c r="Q12" s="47">
        <f>COUNTIFS(Spielplan!$F$4:$F$31,N12,Spielplan!$L$4:$L$31,"&lt;&gt;")+COUNTIFS(Spielplan!$H$4:$H$31,N12,Spielplan!$L$4:$L$31,"&lt;&gt;")</f>
        <v>7</v>
      </c>
      <c r="R12" s="47">
        <f>COUNTIF(Spielplan!$L$4:$L$31,O12)</f>
        <v>1</v>
      </c>
      <c r="S12" s="47">
        <f t="shared" si="10"/>
        <v>6</v>
      </c>
      <c r="T12" s="47">
        <f>SUMIFS(Spielplan!$J$4:$J$31,Spielplan!$F$4:$F$31,N12)+SUMIFS(Spielplan!$K$4:$K$31,Spielplan!$H$4:$H$31,N12)</f>
        <v>9</v>
      </c>
      <c r="U12" s="47">
        <f>SUMIFS(Spielplan!$K$4:$K$31,Spielplan!$F$4:$F$31,N12)+SUMIFS(Spielplan!$J$4:$J$31,Spielplan!$H$4:$H$31,N12)</f>
        <v>20</v>
      </c>
      <c r="V12" s="47">
        <f t="shared" si="11"/>
        <v>-11</v>
      </c>
      <c r="W12" s="47">
        <f t="shared" si="12"/>
        <v>2</v>
      </c>
      <c r="X12" s="47">
        <f t="shared" si="13"/>
        <v>18908.919999999998</v>
      </c>
      <c r="Y12" s="47">
        <f t="shared" si="14"/>
        <v>8</v>
      </c>
    </row>
    <row r="30" spans="1:9" ht="15" customHeight="1" x14ac:dyDescent="0.25">
      <c r="A30" s="9" t="s">
        <v>76</v>
      </c>
      <c r="B30" s="9"/>
      <c r="C30" s="9"/>
      <c r="D30" s="9"/>
      <c r="E30" s="9"/>
      <c r="F30" s="9"/>
      <c r="G30" s="9"/>
      <c r="H30" s="9"/>
      <c r="I30" s="9"/>
    </row>
    <row r="31" spans="1:9" ht="30" customHeight="1" x14ac:dyDescent="0.25">
      <c r="A31" s="56" t="s">
        <v>77</v>
      </c>
      <c r="B31" s="57" t="str">
        <f>IFERROR(INDEX(Teilnehmer!$B$4:$B$11,MATCH(1,Teilnehmer!$A$4:$A$11,0)),"")</f>
        <v>Lukas Berger</v>
      </c>
      <c r="C31" s="57" t="str">
        <f>IFERROR(INDEX(Teilnehmer!$B$4:$B$11,MATCH(2,Teilnehmer!$A$4:$A$11,0)),"")</f>
        <v>Jonas Wagner</v>
      </c>
      <c r="D31" s="57" t="str">
        <f>IFERROR(INDEX(Teilnehmer!$B$4:$B$11,MATCH(3,Teilnehmer!$A$4:$A$11,0)),"")</f>
        <v>Finn Hoffmann</v>
      </c>
      <c r="E31" s="57" t="str">
        <f>IFERROR(INDEX(Teilnehmer!$B$4:$B$11,MATCH(4,Teilnehmer!$A$4:$A$11,0)),"")</f>
        <v>Elias Braun</v>
      </c>
      <c r="F31" s="57" t="str">
        <f>IFERROR(INDEX(Teilnehmer!$B$4:$B$11,MATCH(5,Teilnehmer!$A$4:$A$11,0)),"")</f>
        <v>Noah Schäfer</v>
      </c>
      <c r="G31" s="57" t="str">
        <f>IFERROR(INDEX(Teilnehmer!$B$4:$B$11,MATCH(6,Teilnehmer!$A$4:$A$11,0)),"")</f>
        <v>Ben Krüger</v>
      </c>
      <c r="H31" s="57" t="str">
        <f>IFERROR(INDEX(Teilnehmer!$B$4:$B$11,MATCH(7,Teilnehmer!$A$4:$A$11,0)),"")</f>
        <v>Paul Richter</v>
      </c>
      <c r="I31" s="57" t="str">
        <f>IFERROR(INDEX(Teilnehmer!$B$4:$B$11,MATCH(8,Teilnehmer!$A$4:$A$11,0)),"")</f>
        <v>Leon Neumann</v>
      </c>
    </row>
    <row r="32" spans="1:9" ht="18" customHeight="1" x14ac:dyDescent="0.25">
      <c r="A32" s="58" t="str">
        <f>IFERROR(INDEX(Teilnehmer!$B$4:$B$11,MATCH(1,Teilnehmer!$A$4:$A$11,0)),"")</f>
        <v>Lukas Berger</v>
      </c>
      <c r="B32" s="59" t="s">
        <v>78</v>
      </c>
      <c r="C32" s="60" t="str">
        <f>IF((COUNTIFS(Spielplan!$F$4:$F$31,1,Spielplan!$H$4:$H$31,2,Spielplan!$L$4:$L$31,"&lt;&gt;")+COUNTIFS(Spielplan!$F$4:$F$31,2,Spielplan!$H$4:$H$31,1,Spielplan!$L$4:$L$31,"&lt;&gt;"))=0,"",(SUMIFS(Spielplan!$J$4:$J$31,Spielplan!$F$4:$F$31,1,Spielplan!$H$4:$H$31,2)+SUMIFS(Spielplan!$K$4:$K$31,Spielplan!$F$4:$F$31,2,Spielplan!$H$4:$H$31,1))&amp;":"&amp;(SUMIFS(Spielplan!$K$4:$K$31,Spielplan!$F$4:$F$31,1,Spielplan!$H$4:$H$31,2)+SUMIFS(Spielplan!$J$4:$J$31,Spielplan!$F$4:$F$31,2,Spielplan!$H$4:$H$31,1)))</f>
        <v>3:1</v>
      </c>
      <c r="D32" s="60" t="str">
        <f>IF((COUNTIFS(Spielplan!$F$4:$F$31,1,Spielplan!$H$4:$H$31,3,Spielplan!$L$4:$L$31,"&lt;&gt;")+COUNTIFS(Spielplan!$F$4:$F$31,3,Spielplan!$H$4:$H$31,1,Spielplan!$L$4:$L$31,"&lt;&gt;"))=0,"",(SUMIFS(Spielplan!$J$4:$J$31,Spielplan!$F$4:$F$31,1,Spielplan!$H$4:$H$31,3)+SUMIFS(Spielplan!$K$4:$K$31,Spielplan!$F$4:$F$31,3,Spielplan!$H$4:$H$31,1))&amp;":"&amp;(SUMIFS(Spielplan!$K$4:$K$31,Spielplan!$F$4:$F$31,1,Spielplan!$H$4:$H$31,3)+SUMIFS(Spielplan!$J$4:$J$31,Spielplan!$F$4:$F$31,3,Spielplan!$H$4:$H$31,1)))</f>
        <v>3:1</v>
      </c>
      <c r="E32" s="60" t="str">
        <f>IF((COUNTIFS(Spielplan!$F$4:$F$31,1,Spielplan!$H$4:$H$31,4,Spielplan!$L$4:$L$31,"&lt;&gt;")+COUNTIFS(Spielplan!$F$4:$F$31,4,Spielplan!$H$4:$H$31,1,Spielplan!$L$4:$L$31,"&lt;&gt;"))=0,"",(SUMIFS(Spielplan!$J$4:$J$31,Spielplan!$F$4:$F$31,1,Spielplan!$H$4:$H$31,4)+SUMIFS(Spielplan!$K$4:$K$31,Spielplan!$F$4:$F$31,4,Spielplan!$H$4:$H$31,1))&amp;":"&amp;(SUMIFS(Spielplan!$K$4:$K$31,Spielplan!$F$4:$F$31,1,Spielplan!$H$4:$H$31,4)+SUMIFS(Spielplan!$J$4:$J$31,Spielplan!$F$4:$F$31,4,Spielplan!$H$4:$H$31,1)))</f>
        <v>2:3</v>
      </c>
      <c r="F32" s="60" t="str">
        <f>IF((COUNTIFS(Spielplan!$F$4:$F$31,1,Spielplan!$H$4:$H$31,5,Spielplan!$L$4:$L$31,"&lt;&gt;")+COUNTIFS(Spielplan!$F$4:$F$31,5,Spielplan!$H$4:$H$31,1,Spielplan!$L$4:$L$31,"&lt;&gt;"))=0,"",(SUMIFS(Spielplan!$J$4:$J$31,Spielplan!$F$4:$F$31,1,Spielplan!$H$4:$H$31,5)+SUMIFS(Spielplan!$K$4:$K$31,Spielplan!$F$4:$F$31,5,Spielplan!$H$4:$H$31,1))&amp;":"&amp;(SUMIFS(Spielplan!$K$4:$K$31,Spielplan!$F$4:$F$31,1,Spielplan!$H$4:$H$31,5)+SUMIFS(Spielplan!$J$4:$J$31,Spielplan!$F$4:$F$31,5,Spielplan!$H$4:$H$31,1)))</f>
        <v>3:1</v>
      </c>
      <c r="G32" s="60" t="str">
        <f>IF((COUNTIFS(Spielplan!$F$4:$F$31,1,Spielplan!$H$4:$H$31,6,Spielplan!$L$4:$L$31,"&lt;&gt;")+COUNTIFS(Spielplan!$F$4:$F$31,6,Spielplan!$H$4:$H$31,1,Spielplan!$L$4:$L$31,"&lt;&gt;"))=0,"",(SUMIFS(Spielplan!$J$4:$J$31,Spielplan!$F$4:$F$31,1,Spielplan!$H$4:$H$31,6)+SUMIFS(Spielplan!$K$4:$K$31,Spielplan!$F$4:$F$31,6,Spielplan!$H$4:$H$31,1))&amp;":"&amp;(SUMIFS(Spielplan!$K$4:$K$31,Spielplan!$F$4:$F$31,1,Spielplan!$H$4:$H$31,6)+SUMIFS(Spielplan!$J$4:$J$31,Spielplan!$F$4:$F$31,6,Spielplan!$H$4:$H$31,1)))</f>
        <v>3:2</v>
      </c>
      <c r="H32" s="60" t="str">
        <f>IF((COUNTIFS(Spielplan!$F$4:$F$31,1,Spielplan!$H$4:$H$31,7,Spielplan!$L$4:$L$31,"&lt;&gt;")+COUNTIFS(Spielplan!$F$4:$F$31,7,Spielplan!$H$4:$H$31,1,Spielplan!$L$4:$L$31,"&lt;&gt;"))=0,"",(SUMIFS(Spielplan!$J$4:$J$31,Spielplan!$F$4:$F$31,1,Spielplan!$H$4:$H$31,7)+SUMIFS(Spielplan!$K$4:$K$31,Spielplan!$F$4:$F$31,7,Spielplan!$H$4:$H$31,1))&amp;":"&amp;(SUMIFS(Spielplan!$K$4:$K$31,Spielplan!$F$4:$F$31,1,Spielplan!$H$4:$H$31,7)+SUMIFS(Spielplan!$J$4:$J$31,Spielplan!$F$4:$F$31,7,Spielplan!$H$4:$H$31,1)))</f>
        <v>3:1</v>
      </c>
      <c r="I32" s="60" t="str">
        <f>IF((COUNTIFS(Spielplan!$F$4:$F$31,1,Spielplan!$H$4:$H$31,8,Spielplan!$L$4:$L$31,"&lt;&gt;")+COUNTIFS(Spielplan!$F$4:$F$31,8,Spielplan!$H$4:$H$31,1,Spielplan!$L$4:$L$31,"&lt;&gt;"))=0,"",(SUMIFS(Spielplan!$J$4:$J$31,Spielplan!$F$4:$F$31,1,Spielplan!$H$4:$H$31,8)+SUMIFS(Spielplan!$K$4:$K$31,Spielplan!$F$4:$F$31,8,Spielplan!$H$4:$H$31,1))&amp;":"&amp;(SUMIFS(Spielplan!$K$4:$K$31,Spielplan!$F$4:$F$31,1,Spielplan!$H$4:$H$31,8)+SUMIFS(Spielplan!$J$4:$J$31,Spielplan!$F$4:$F$31,8,Spielplan!$H$4:$H$31,1)))</f>
        <v>3:1</v>
      </c>
    </row>
    <row r="33" spans="1:9" ht="18" customHeight="1" x14ac:dyDescent="0.25">
      <c r="A33" s="58" t="str">
        <f>IFERROR(INDEX(Teilnehmer!$B$4:$B$11,MATCH(2,Teilnehmer!$A$4:$A$11,0)),"")</f>
        <v>Jonas Wagner</v>
      </c>
      <c r="B33" s="61" t="str">
        <f>IF((COUNTIFS(Spielplan!$F$4:$F$31,2,Spielplan!$H$4:$H$31,1,Spielplan!$L$4:$L$31,"&lt;&gt;")+COUNTIFS(Spielplan!$F$4:$F$31,1,Spielplan!$H$4:$H$31,2,Spielplan!$L$4:$L$31,"&lt;&gt;"))=0,"",(SUMIFS(Spielplan!$J$4:$J$31,Spielplan!$F$4:$F$31,2,Spielplan!$H$4:$H$31,1)+SUMIFS(Spielplan!$K$4:$K$31,Spielplan!$F$4:$F$31,1,Spielplan!$H$4:$H$31,2))&amp;":"&amp;(SUMIFS(Spielplan!$K$4:$K$31,Spielplan!$F$4:$F$31,2,Spielplan!$H$4:$H$31,1)+SUMIFS(Spielplan!$J$4:$J$31,Spielplan!$F$4:$F$31,1,Spielplan!$H$4:$H$31,2)))</f>
        <v>1:3</v>
      </c>
      <c r="C33" s="59" t="s">
        <v>78</v>
      </c>
      <c r="D33" s="61" t="str">
        <f>IF((COUNTIFS(Spielplan!$F$4:$F$31,2,Spielplan!$H$4:$H$31,3,Spielplan!$L$4:$L$31,"&lt;&gt;")+COUNTIFS(Spielplan!$F$4:$F$31,3,Spielplan!$H$4:$H$31,2,Spielplan!$L$4:$L$31,"&lt;&gt;"))=0,"",(SUMIFS(Spielplan!$J$4:$J$31,Spielplan!$F$4:$F$31,2,Spielplan!$H$4:$H$31,3)+SUMIFS(Spielplan!$K$4:$K$31,Spielplan!$F$4:$F$31,3,Spielplan!$H$4:$H$31,2))&amp;":"&amp;(SUMIFS(Spielplan!$K$4:$K$31,Spielplan!$F$4:$F$31,2,Spielplan!$H$4:$H$31,3)+SUMIFS(Spielplan!$J$4:$J$31,Spielplan!$F$4:$F$31,3,Spielplan!$H$4:$H$31,2)))</f>
        <v>2:3</v>
      </c>
      <c r="E33" s="61" t="str">
        <f>IF((COUNTIFS(Spielplan!$F$4:$F$31,2,Spielplan!$H$4:$H$31,4,Spielplan!$L$4:$L$31,"&lt;&gt;")+COUNTIFS(Spielplan!$F$4:$F$31,4,Spielplan!$H$4:$H$31,2,Spielplan!$L$4:$L$31,"&lt;&gt;"))=0,"",(SUMIFS(Spielplan!$J$4:$J$31,Spielplan!$F$4:$F$31,2,Spielplan!$H$4:$H$31,4)+SUMIFS(Spielplan!$K$4:$K$31,Spielplan!$F$4:$F$31,4,Spielplan!$H$4:$H$31,2))&amp;":"&amp;(SUMIFS(Spielplan!$K$4:$K$31,Spielplan!$F$4:$F$31,2,Spielplan!$H$4:$H$31,4)+SUMIFS(Spielplan!$J$4:$J$31,Spielplan!$F$4:$F$31,4,Spielplan!$H$4:$H$31,2)))</f>
        <v>3:1</v>
      </c>
      <c r="F33" s="61" t="str">
        <f>IF((COUNTIFS(Spielplan!$F$4:$F$31,2,Spielplan!$H$4:$H$31,5,Spielplan!$L$4:$L$31,"&lt;&gt;")+COUNTIFS(Spielplan!$F$4:$F$31,5,Spielplan!$H$4:$H$31,2,Spielplan!$L$4:$L$31,"&lt;&gt;"))=0,"",(SUMIFS(Spielplan!$J$4:$J$31,Spielplan!$F$4:$F$31,2,Spielplan!$H$4:$H$31,5)+SUMIFS(Spielplan!$K$4:$K$31,Spielplan!$F$4:$F$31,5,Spielplan!$H$4:$H$31,2))&amp;":"&amp;(SUMIFS(Spielplan!$K$4:$K$31,Spielplan!$F$4:$F$31,2,Spielplan!$H$4:$H$31,5)+SUMIFS(Spielplan!$J$4:$J$31,Spielplan!$F$4:$F$31,5,Spielplan!$H$4:$H$31,2)))</f>
        <v>2:3</v>
      </c>
      <c r="G33" s="61" t="str">
        <f>IF((COUNTIFS(Spielplan!$F$4:$F$31,2,Spielplan!$H$4:$H$31,6,Spielplan!$L$4:$L$31,"&lt;&gt;")+COUNTIFS(Spielplan!$F$4:$F$31,6,Spielplan!$H$4:$H$31,2,Spielplan!$L$4:$L$31,"&lt;&gt;"))=0,"",(SUMIFS(Spielplan!$J$4:$J$31,Spielplan!$F$4:$F$31,2,Spielplan!$H$4:$H$31,6)+SUMIFS(Spielplan!$K$4:$K$31,Spielplan!$F$4:$F$31,6,Spielplan!$H$4:$H$31,2))&amp;":"&amp;(SUMIFS(Spielplan!$K$4:$K$31,Spielplan!$F$4:$F$31,2,Spielplan!$H$4:$H$31,6)+SUMIFS(Spielplan!$J$4:$J$31,Spielplan!$F$4:$F$31,6,Spielplan!$H$4:$H$31,2)))</f>
        <v>3:1</v>
      </c>
      <c r="H33" s="61" t="str">
        <f>IF((COUNTIFS(Spielplan!$F$4:$F$31,2,Spielplan!$H$4:$H$31,7,Spielplan!$L$4:$L$31,"&lt;&gt;")+COUNTIFS(Spielplan!$F$4:$F$31,7,Spielplan!$H$4:$H$31,2,Spielplan!$L$4:$L$31,"&lt;&gt;"))=0,"",(SUMIFS(Spielplan!$J$4:$J$31,Spielplan!$F$4:$F$31,2,Spielplan!$H$4:$H$31,7)+SUMIFS(Spielplan!$K$4:$K$31,Spielplan!$F$4:$F$31,7,Spielplan!$H$4:$H$31,2))&amp;":"&amp;(SUMIFS(Spielplan!$K$4:$K$31,Spielplan!$F$4:$F$31,2,Spielplan!$H$4:$H$31,7)+SUMIFS(Spielplan!$J$4:$J$31,Spielplan!$F$4:$F$31,7,Spielplan!$H$4:$H$31,2)))</f>
        <v>1:3</v>
      </c>
      <c r="I33" s="61" t="str">
        <f>IF((COUNTIFS(Spielplan!$F$4:$F$31,2,Spielplan!$H$4:$H$31,8,Spielplan!$L$4:$L$31,"&lt;&gt;")+COUNTIFS(Spielplan!$F$4:$F$31,8,Spielplan!$H$4:$H$31,2,Spielplan!$L$4:$L$31,"&lt;&gt;"))=0,"",(SUMIFS(Spielplan!$J$4:$J$31,Spielplan!$F$4:$F$31,2,Spielplan!$H$4:$H$31,8)+SUMIFS(Spielplan!$K$4:$K$31,Spielplan!$F$4:$F$31,8,Spielplan!$H$4:$H$31,2))&amp;":"&amp;(SUMIFS(Spielplan!$K$4:$K$31,Spielplan!$F$4:$F$31,2,Spielplan!$H$4:$H$31,8)+SUMIFS(Spielplan!$J$4:$J$31,Spielplan!$F$4:$F$31,8,Spielplan!$H$4:$H$31,2)))</f>
        <v>3:2</v>
      </c>
    </row>
    <row r="34" spans="1:9" ht="18" customHeight="1" x14ac:dyDescent="0.25">
      <c r="A34" s="58" t="str">
        <f>IFERROR(INDEX(Teilnehmer!$B$4:$B$11,MATCH(3,Teilnehmer!$A$4:$A$11,0)),"")</f>
        <v>Finn Hoffmann</v>
      </c>
      <c r="B34" s="60" t="str">
        <f>IF((COUNTIFS(Spielplan!$F$4:$F$31,3,Spielplan!$H$4:$H$31,1,Spielplan!$L$4:$L$31,"&lt;&gt;")+COUNTIFS(Spielplan!$F$4:$F$31,1,Spielplan!$H$4:$H$31,3,Spielplan!$L$4:$L$31,"&lt;&gt;"))=0,"",(SUMIFS(Spielplan!$J$4:$J$31,Spielplan!$F$4:$F$31,3,Spielplan!$H$4:$H$31,1)+SUMIFS(Spielplan!$K$4:$K$31,Spielplan!$F$4:$F$31,1,Spielplan!$H$4:$H$31,3))&amp;":"&amp;(SUMIFS(Spielplan!$K$4:$K$31,Spielplan!$F$4:$F$31,3,Spielplan!$H$4:$H$31,1)+SUMIFS(Spielplan!$J$4:$J$31,Spielplan!$F$4:$F$31,1,Spielplan!$H$4:$H$31,3)))</f>
        <v>1:3</v>
      </c>
      <c r="C34" s="60" t="str">
        <f>IF((COUNTIFS(Spielplan!$F$4:$F$31,3,Spielplan!$H$4:$H$31,2,Spielplan!$L$4:$L$31,"&lt;&gt;")+COUNTIFS(Spielplan!$F$4:$F$31,2,Spielplan!$H$4:$H$31,3,Spielplan!$L$4:$L$31,"&lt;&gt;"))=0,"",(SUMIFS(Spielplan!$J$4:$J$31,Spielplan!$F$4:$F$31,3,Spielplan!$H$4:$H$31,2)+SUMIFS(Spielplan!$K$4:$K$31,Spielplan!$F$4:$F$31,2,Spielplan!$H$4:$H$31,3))&amp;":"&amp;(SUMIFS(Spielplan!$K$4:$K$31,Spielplan!$F$4:$F$31,3,Spielplan!$H$4:$H$31,2)+SUMIFS(Spielplan!$J$4:$J$31,Spielplan!$F$4:$F$31,2,Spielplan!$H$4:$H$31,3)))</f>
        <v>3:2</v>
      </c>
      <c r="D34" s="59" t="s">
        <v>78</v>
      </c>
      <c r="E34" s="60" t="str">
        <f>IF((COUNTIFS(Spielplan!$F$4:$F$31,3,Spielplan!$H$4:$H$31,4,Spielplan!$L$4:$L$31,"&lt;&gt;")+COUNTIFS(Spielplan!$F$4:$F$31,4,Spielplan!$H$4:$H$31,3,Spielplan!$L$4:$L$31,"&lt;&gt;"))=0,"",(SUMIFS(Spielplan!$J$4:$J$31,Spielplan!$F$4:$F$31,3,Spielplan!$H$4:$H$31,4)+SUMIFS(Spielplan!$K$4:$K$31,Spielplan!$F$4:$F$31,4,Spielplan!$H$4:$H$31,3))&amp;":"&amp;(SUMIFS(Spielplan!$K$4:$K$31,Spielplan!$F$4:$F$31,3,Spielplan!$H$4:$H$31,4)+SUMIFS(Spielplan!$J$4:$J$31,Spielplan!$F$4:$F$31,4,Spielplan!$H$4:$H$31,3)))</f>
        <v>2:3</v>
      </c>
      <c r="F34" s="60" t="str">
        <f>IF((COUNTIFS(Spielplan!$F$4:$F$31,3,Spielplan!$H$4:$H$31,5,Spielplan!$L$4:$L$31,"&lt;&gt;")+COUNTIFS(Spielplan!$F$4:$F$31,5,Spielplan!$H$4:$H$31,3,Spielplan!$L$4:$L$31,"&lt;&gt;"))=0,"",(SUMIFS(Spielplan!$J$4:$J$31,Spielplan!$F$4:$F$31,3,Spielplan!$H$4:$H$31,5)+SUMIFS(Spielplan!$K$4:$K$31,Spielplan!$F$4:$F$31,5,Spielplan!$H$4:$H$31,3))&amp;":"&amp;(SUMIFS(Spielplan!$K$4:$K$31,Spielplan!$F$4:$F$31,3,Spielplan!$H$4:$H$31,5)+SUMIFS(Spielplan!$J$4:$J$31,Spielplan!$F$4:$F$31,5,Spielplan!$H$4:$H$31,3)))</f>
        <v>0:3</v>
      </c>
      <c r="G34" s="60" t="str">
        <f>IF((COUNTIFS(Spielplan!$F$4:$F$31,3,Spielplan!$H$4:$H$31,6,Spielplan!$L$4:$L$31,"&lt;&gt;")+COUNTIFS(Spielplan!$F$4:$F$31,6,Spielplan!$H$4:$H$31,3,Spielplan!$L$4:$L$31,"&lt;&gt;"))=0,"",(SUMIFS(Spielplan!$J$4:$J$31,Spielplan!$F$4:$F$31,3,Spielplan!$H$4:$H$31,6)+SUMIFS(Spielplan!$K$4:$K$31,Spielplan!$F$4:$F$31,6,Spielplan!$H$4:$H$31,3))&amp;":"&amp;(SUMIFS(Spielplan!$K$4:$K$31,Spielplan!$F$4:$F$31,3,Spielplan!$H$4:$H$31,6)+SUMIFS(Spielplan!$J$4:$J$31,Spielplan!$F$4:$F$31,6,Spielplan!$H$4:$H$31,3)))</f>
        <v>1:3</v>
      </c>
      <c r="H34" s="60" t="str">
        <f>IF((COUNTIFS(Spielplan!$F$4:$F$31,3,Spielplan!$H$4:$H$31,7,Spielplan!$L$4:$L$31,"&lt;&gt;")+COUNTIFS(Spielplan!$F$4:$F$31,7,Spielplan!$H$4:$H$31,3,Spielplan!$L$4:$L$31,"&lt;&gt;"))=0,"",(SUMIFS(Spielplan!$J$4:$J$31,Spielplan!$F$4:$F$31,3,Spielplan!$H$4:$H$31,7)+SUMIFS(Spielplan!$K$4:$K$31,Spielplan!$F$4:$F$31,7,Spielplan!$H$4:$H$31,3))&amp;":"&amp;(SUMIFS(Spielplan!$K$4:$K$31,Spielplan!$F$4:$F$31,3,Spielplan!$H$4:$H$31,7)+SUMIFS(Spielplan!$J$4:$J$31,Spielplan!$F$4:$F$31,7,Spielplan!$H$4:$H$31,3)))</f>
        <v>3:2</v>
      </c>
      <c r="I34" s="60" t="str">
        <f>IF((COUNTIFS(Spielplan!$F$4:$F$31,3,Spielplan!$H$4:$H$31,8,Spielplan!$L$4:$L$31,"&lt;&gt;")+COUNTIFS(Spielplan!$F$4:$F$31,8,Spielplan!$H$4:$H$31,3,Spielplan!$L$4:$L$31,"&lt;&gt;"))=0,"",(SUMIFS(Spielplan!$J$4:$J$31,Spielplan!$F$4:$F$31,3,Spielplan!$H$4:$H$31,8)+SUMIFS(Spielplan!$K$4:$K$31,Spielplan!$F$4:$F$31,8,Spielplan!$H$4:$H$31,3))&amp;":"&amp;(SUMIFS(Spielplan!$K$4:$K$31,Spielplan!$F$4:$F$31,3,Spielplan!$H$4:$H$31,8)+SUMIFS(Spielplan!$J$4:$J$31,Spielplan!$F$4:$F$31,8,Spielplan!$H$4:$H$31,3)))</f>
        <v>3:0</v>
      </c>
    </row>
    <row r="35" spans="1:9" ht="18" customHeight="1" x14ac:dyDescent="0.25">
      <c r="A35" s="58" t="str">
        <f>IFERROR(INDEX(Teilnehmer!$B$4:$B$11,MATCH(4,Teilnehmer!$A$4:$A$11,0)),"")</f>
        <v>Elias Braun</v>
      </c>
      <c r="B35" s="61" t="str">
        <f>IF((COUNTIFS(Spielplan!$F$4:$F$31,4,Spielplan!$H$4:$H$31,1,Spielplan!$L$4:$L$31,"&lt;&gt;")+COUNTIFS(Spielplan!$F$4:$F$31,1,Spielplan!$H$4:$H$31,4,Spielplan!$L$4:$L$31,"&lt;&gt;"))=0,"",(SUMIFS(Spielplan!$J$4:$J$31,Spielplan!$F$4:$F$31,4,Spielplan!$H$4:$H$31,1)+SUMIFS(Spielplan!$K$4:$K$31,Spielplan!$F$4:$F$31,1,Spielplan!$H$4:$H$31,4))&amp;":"&amp;(SUMIFS(Spielplan!$K$4:$K$31,Spielplan!$F$4:$F$31,4,Spielplan!$H$4:$H$31,1)+SUMIFS(Spielplan!$J$4:$J$31,Spielplan!$F$4:$F$31,1,Spielplan!$H$4:$H$31,4)))</f>
        <v>3:2</v>
      </c>
      <c r="C35" s="61" t="str">
        <f>IF((COUNTIFS(Spielplan!$F$4:$F$31,4,Spielplan!$H$4:$H$31,2,Spielplan!$L$4:$L$31,"&lt;&gt;")+COUNTIFS(Spielplan!$F$4:$F$31,2,Spielplan!$H$4:$H$31,4,Spielplan!$L$4:$L$31,"&lt;&gt;"))=0,"",(SUMIFS(Spielplan!$J$4:$J$31,Spielplan!$F$4:$F$31,4,Spielplan!$H$4:$H$31,2)+SUMIFS(Spielplan!$K$4:$K$31,Spielplan!$F$4:$F$31,2,Spielplan!$H$4:$H$31,4))&amp;":"&amp;(SUMIFS(Spielplan!$K$4:$K$31,Spielplan!$F$4:$F$31,4,Spielplan!$H$4:$H$31,2)+SUMIFS(Spielplan!$J$4:$J$31,Spielplan!$F$4:$F$31,2,Spielplan!$H$4:$H$31,4)))</f>
        <v>1:3</v>
      </c>
      <c r="D35" s="61" t="str">
        <f>IF((COUNTIFS(Spielplan!$F$4:$F$31,4,Spielplan!$H$4:$H$31,3,Spielplan!$L$4:$L$31,"&lt;&gt;")+COUNTIFS(Spielplan!$F$4:$F$31,3,Spielplan!$H$4:$H$31,4,Spielplan!$L$4:$L$31,"&lt;&gt;"))=0,"",(SUMIFS(Spielplan!$J$4:$J$31,Spielplan!$F$4:$F$31,4,Spielplan!$H$4:$H$31,3)+SUMIFS(Spielplan!$K$4:$K$31,Spielplan!$F$4:$F$31,3,Spielplan!$H$4:$H$31,4))&amp;":"&amp;(SUMIFS(Spielplan!$K$4:$K$31,Spielplan!$F$4:$F$31,4,Spielplan!$H$4:$H$31,3)+SUMIFS(Spielplan!$J$4:$J$31,Spielplan!$F$4:$F$31,3,Spielplan!$H$4:$H$31,4)))</f>
        <v>3:2</v>
      </c>
      <c r="E35" s="59" t="s">
        <v>78</v>
      </c>
      <c r="F35" s="61" t="str">
        <f>IF((COUNTIFS(Spielplan!$F$4:$F$31,4,Spielplan!$H$4:$H$31,5,Spielplan!$L$4:$L$31,"&lt;&gt;")+COUNTIFS(Spielplan!$F$4:$F$31,5,Spielplan!$H$4:$H$31,4,Spielplan!$L$4:$L$31,"&lt;&gt;"))=0,"",(SUMIFS(Spielplan!$J$4:$J$31,Spielplan!$F$4:$F$31,4,Spielplan!$H$4:$H$31,5)+SUMIFS(Spielplan!$K$4:$K$31,Spielplan!$F$4:$F$31,5,Spielplan!$H$4:$H$31,4))&amp;":"&amp;(SUMIFS(Spielplan!$K$4:$K$31,Spielplan!$F$4:$F$31,4,Spielplan!$H$4:$H$31,5)+SUMIFS(Spielplan!$J$4:$J$31,Spielplan!$F$4:$F$31,5,Spielplan!$H$4:$H$31,4)))</f>
        <v>2:3</v>
      </c>
      <c r="G35" s="61" t="str">
        <f>IF((COUNTIFS(Spielplan!$F$4:$F$31,4,Spielplan!$H$4:$H$31,6,Spielplan!$L$4:$L$31,"&lt;&gt;")+COUNTIFS(Spielplan!$F$4:$F$31,6,Spielplan!$H$4:$H$31,4,Spielplan!$L$4:$L$31,"&lt;&gt;"))=0,"",(SUMIFS(Spielplan!$J$4:$J$31,Spielplan!$F$4:$F$31,4,Spielplan!$H$4:$H$31,6)+SUMIFS(Spielplan!$K$4:$K$31,Spielplan!$F$4:$F$31,6,Spielplan!$H$4:$H$31,4))&amp;":"&amp;(SUMIFS(Spielplan!$K$4:$K$31,Spielplan!$F$4:$F$31,4,Spielplan!$H$4:$H$31,6)+SUMIFS(Spielplan!$J$4:$J$31,Spielplan!$F$4:$F$31,6,Spielplan!$H$4:$H$31,4)))</f>
        <v>2:3</v>
      </c>
      <c r="H35" s="61" t="str">
        <f>IF((COUNTIFS(Spielplan!$F$4:$F$31,4,Spielplan!$H$4:$H$31,7,Spielplan!$L$4:$L$31,"&lt;&gt;")+COUNTIFS(Spielplan!$F$4:$F$31,7,Spielplan!$H$4:$H$31,4,Spielplan!$L$4:$L$31,"&lt;&gt;"))=0,"",(SUMIFS(Spielplan!$J$4:$J$31,Spielplan!$F$4:$F$31,4,Spielplan!$H$4:$H$31,7)+SUMIFS(Spielplan!$K$4:$K$31,Spielplan!$F$4:$F$31,7,Spielplan!$H$4:$H$31,4))&amp;":"&amp;(SUMIFS(Spielplan!$K$4:$K$31,Spielplan!$F$4:$F$31,4,Spielplan!$H$4:$H$31,7)+SUMIFS(Spielplan!$J$4:$J$31,Spielplan!$F$4:$F$31,7,Spielplan!$H$4:$H$31,4)))</f>
        <v>3:1</v>
      </c>
      <c r="I35" s="61" t="str">
        <f>IF((COUNTIFS(Spielplan!$F$4:$F$31,4,Spielplan!$H$4:$H$31,8,Spielplan!$L$4:$L$31,"&lt;&gt;")+COUNTIFS(Spielplan!$F$4:$F$31,8,Spielplan!$H$4:$H$31,4,Spielplan!$L$4:$L$31,"&lt;&gt;"))=0,"",(SUMIFS(Spielplan!$J$4:$J$31,Spielplan!$F$4:$F$31,4,Spielplan!$H$4:$H$31,8)+SUMIFS(Spielplan!$K$4:$K$31,Spielplan!$F$4:$F$31,8,Spielplan!$H$4:$H$31,4))&amp;":"&amp;(SUMIFS(Spielplan!$K$4:$K$31,Spielplan!$F$4:$F$31,4,Spielplan!$H$4:$H$31,8)+SUMIFS(Spielplan!$J$4:$J$31,Spielplan!$F$4:$F$31,8,Spielplan!$H$4:$H$31,4)))</f>
        <v>3:1</v>
      </c>
    </row>
    <row r="36" spans="1:9" ht="18" customHeight="1" x14ac:dyDescent="0.25">
      <c r="A36" s="58" t="str">
        <f>IFERROR(INDEX(Teilnehmer!$B$4:$B$11,MATCH(5,Teilnehmer!$A$4:$A$11,0)),"")</f>
        <v>Noah Schäfer</v>
      </c>
      <c r="B36" s="60" t="str">
        <f>IF((COUNTIFS(Spielplan!$F$4:$F$31,5,Spielplan!$H$4:$H$31,1,Spielplan!$L$4:$L$31,"&lt;&gt;")+COUNTIFS(Spielplan!$F$4:$F$31,1,Spielplan!$H$4:$H$31,5,Spielplan!$L$4:$L$31,"&lt;&gt;"))=0,"",(SUMIFS(Spielplan!$J$4:$J$31,Spielplan!$F$4:$F$31,5,Spielplan!$H$4:$H$31,1)+SUMIFS(Spielplan!$K$4:$K$31,Spielplan!$F$4:$F$31,1,Spielplan!$H$4:$H$31,5))&amp;":"&amp;(SUMIFS(Spielplan!$K$4:$K$31,Spielplan!$F$4:$F$31,5,Spielplan!$H$4:$H$31,1)+SUMIFS(Spielplan!$J$4:$J$31,Spielplan!$F$4:$F$31,1,Spielplan!$H$4:$H$31,5)))</f>
        <v>1:3</v>
      </c>
      <c r="C36" s="60" t="str">
        <f>IF((COUNTIFS(Spielplan!$F$4:$F$31,5,Spielplan!$H$4:$H$31,2,Spielplan!$L$4:$L$31,"&lt;&gt;")+COUNTIFS(Spielplan!$F$4:$F$31,2,Spielplan!$H$4:$H$31,5,Spielplan!$L$4:$L$31,"&lt;&gt;"))=0,"",(SUMIFS(Spielplan!$J$4:$J$31,Spielplan!$F$4:$F$31,5,Spielplan!$H$4:$H$31,2)+SUMIFS(Spielplan!$K$4:$K$31,Spielplan!$F$4:$F$31,2,Spielplan!$H$4:$H$31,5))&amp;":"&amp;(SUMIFS(Spielplan!$K$4:$K$31,Spielplan!$F$4:$F$31,5,Spielplan!$H$4:$H$31,2)+SUMIFS(Spielplan!$J$4:$J$31,Spielplan!$F$4:$F$31,2,Spielplan!$H$4:$H$31,5)))</f>
        <v>3:2</v>
      </c>
      <c r="D36" s="60" t="str">
        <f>IF((COUNTIFS(Spielplan!$F$4:$F$31,5,Spielplan!$H$4:$H$31,3,Spielplan!$L$4:$L$31,"&lt;&gt;")+COUNTIFS(Spielplan!$F$4:$F$31,3,Spielplan!$H$4:$H$31,5,Spielplan!$L$4:$L$31,"&lt;&gt;"))=0,"",(SUMIFS(Spielplan!$J$4:$J$31,Spielplan!$F$4:$F$31,5,Spielplan!$H$4:$H$31,3)+SUMIFS(Spielplan!$K$4:$K$31,Spielplan!$F$4:$F$31,3,Spielplan!$H$4:$H$31,5))&amp;":"&amp;(SUMIFS(Spielplan!$K$4:$K$31,Spielplan!$F$4:$F$31,5,Spielplan!$H$4:$H$31,3)+SUMIFS(Spielplan!$J$4:$J$31,Spielplan!$F$4:$F$31,3,Spielplan!$H$4:$H$31,5)))</f>
        <v>3:0</v>
      </c>
      <c r="E36" s="60" t="str">
        <f>IF((COUNTIFS(Spielplan!$F$4:$F$31,5,Spielplan!$H$4:$H$31,4,Spielplan!$L$4:$L$31,"&lt;&gt;")+COUNTIFS(Spielplan!$F$4:$F$31,4,Spielplan!$H$4:$H$31,5,Spielplan!$L$4:$L$31,"&lt;&gt;"))=0,"",(SUMIFS(Spielplan!$J$4:$J$31,Spielplan!$F$4:$F$31,5,Spielplan!$H$4:$H$31,4)+SUMIFS(Spielplan!$K$4:$K$31,Spielplan!$F$4:$F$31,4,Spielplan!$H$4:$H$31,5))&amp;":"&amp;(SUMIFS(Spielplan!$K$4:$K$31,Spielplan!$F$4:$F$31,5,Spielplan!$H$4:$H$31,4)+SUMIFS(Spielplan!$J$4:$J$31,Spielplan!$F$4:$F$31,4,Spielplan!$H$4:$H$31,5)))</f>
        <v>3:2</v>
      </c>
      <c r="F36" s="59" t="s">
        <v>78</v>
      </c>
      <c r="G36" s="60" t="str">
        <f>IF((COUNTIFS(Spielplan!$F$4:$F$31,5,Spielplan!$H$4:$H$31,6,Spielplan!$L$4:$L$31,"&lt;&gt;")+COUNTIFS(Spielplan!$F$4:$F$31,6,Spielplan!$H$4:$H$31,5,Spielplan!$L$4:$L$31,"&lt;&gt;"))=0,"",(SUMIFS(Spielplan!$J$4:$J$31,Spielplan!$F$4:$F$31,5,Spielplan!$H$4:$H$31,6)+SUMIFS(Spielplan!$K$4:$K$31,Spielplan!$F$4:$F$31,6,Spielplan!$H$4:$H$31,5))&amp;":"&amp;(SUMIFS(Spielplan!$K$4:$K$31,Spielplan!$F$4:$F$31,5,Spielplan!$H$4:$H$31,6)+SUMIFS(Spielplan!$J$4:$J$31,Spielplan!$F$4:$F$31,6,Spielplan!$H$4:$H$31,5)))</f>
        <v>1:3</v>
      </c>
      <c r="H36" s="60" t="str">
        <f>IF((COUNTIFS(Spielplan!$F$4:$F$31,5,Spielplan!$H$4:$H$31,7,Spielplan!$L$4:$L$31,"&lt;&gt;")+COUNTIFS(Spielplan!$F$4:$F$31,7,Spielplan!$H$4:$H$31,5,Spielplan!$L$4:$L$31,"&lt;&gt;"))=0,"",(SUMIFS(Spielplan!$J$4:$J$31,Spielplan!$F$4:$F$31,5,Spielplan!$H$4:$H$31,7)+SUMIFS(Spielplan!$K$4:$K$31,Spielplan!$F$4:$F$31,7,Spielplan!$H$4:$H$31,5))&amp;":"&amp;(SUMIFS(Spielplan!$K$4:$K$31,Spielplan!$F$4:$F$31,5,Spielplan!$H$4:$H$31,7)+SUMIFS(Spielplan!$J$4:$J$31,Spielplan!$F$4:$F$31,7,Spielplan!$H$4:$H$31,5)))</f>
        <v>0:3</v>
      </c>
      <c r="I36" s="60" t="str">
        <f>IF((COUNTIFS(Spielplan!$F$4:$F$31,5,Spielplan!$H$4:$H$31,8,Spielplan!$L$4:$L$31,"&lt;&gt;")+COUNTIFS(Spielplan!$F$4:$F$31,8,Spielplan!$H$4:$H$31,5,Spielplan!$L$4:$L$31,"&lt;&gt;"))=0,"",(SUMIFS(Spielplan!$J$4:$J$31,Spielplan!$F$4:$F$31,5,Spielplan!$H$4:$H$31,8)+SUMIFS(Spielplan!$K$4:$K$31,Spielplan!$F$4:$F$31,8,Spielplan!$H$4:$H$31,5))&amp;":"&amp;(SUMIFS(Spielplan!$K$4:$K$31,Spielplan!$F$4:$F$31,5,Spielplan!$H$4:$H$31,8)+SUMIFS(Spielplan!$J$4:$J$31,Spielplan!$F$4:$F$31,8,Spielplan!$H$4:$H$31,5)))</f>
        <v>3:2</v>
      </c>
    </row>
    <row r="37" spans="1:9" ht="18" customHeight="1" x14ac:dyDescent="0.25">
      <c r="A37" s="58" t="str">
        <f>IFERROR(INDEX(Teilnehmer!$B$4:$B$11,MATCH(6,Teilnehmer!$A$4:$A$11,0)),"")</f>
        <v>Ben Krüger</v>
      </c>
      <c r="B37" s="61" t="str">
        <f>IF((COUNTIFS(Spielplan!$F$4:$F$31,6,Spielplan!$H$4:$H$31,1,Spielplan!$L$4:$L$31,"&lt;&gt;")+COUNTIFS(Spielplan!$F$4:$F$31,1,Spielplan!$H$4:$H$31,6,Spielplan!$L$4:$L$31,"&lt;&gt;"))=0,"",(SUMIFS(Spielplan!$J$4:$J$31,Spielplan!$F$4:$F$31,6,Spielplan!$H$4:$H$31,1)+SUMIFS(Spielplan!$K$4:$K$31,Spielplan!$F$4:$F$31,1,Spielplan!$H$4:$H$31,6))&amp;":"&amp;(SUMIFS(Spielplan!$K$4:$K$31,Spielplan!$F$4:$F$31,6,Spielplan!$H$4:$H$31,1)+SUMIFS(Spielplan!$J$4:$J$31,Spielplan!$F$4:$F$31,1,Spielplan!$H$4:$H$31,6)))</f>
        <v>2:3</v>
      </c>
      <c r="C37" s="61" t="str">
        <f>IF((COUNTIFS(Spielplan!$F$4:$F$31,6,Spielplan!$H$4:$H$31,2,Spielplan!$L$4:$L$31,"&lt;&gt;")+COUNTIFS(Spielplan!$F$4:$F$31,2,Spielplan!$H$4:$H$31,6,Spielplan!$L$4:$L$31,"&lt;&gt;"))=0,"",(SUMIFS(Spielplan!$J$4:$J$31,Spielplan!$F$4:$F$31,6,Spielplan!$H$4:$H$31,2)+SUMIFS(Spielplan!$K$4:$K$31,Spielplan!$F$4:$F$31,2,Spielplan!$H$4:$H$31,6))&amp;":"&amp;(SUMIFS(Spielplan!$K$4:$K$31,Spielplan!$F$4:$F$31,6,Spielplan!$H$4:$H$31,2)+SUMIFS(Spielplan!$J$4:$J$31,Spielplan!$F$4:$F$31,2,Spielplan!$H$4:$H$31,6)))</f>
        <v>1:3</v>
      </c>
      <c r="D37" s="61" t="str">
        <f>IF((COUNTIFS(Spielplan!$F$4:$F$31,6,Spielplan!$H$4:$H$31,3,Spielplan!$L$4:$L$31,"&lt;&gt;")+COUNTIFS(Spielplan!$F$4:$F$31,3,Spielplan!$H$4:$H$31,6,Spielplan!$L$4:$L$31,"&lt;&gt;"))=0,"",(SUMIFS(Spielplan!$J$4:$J$31,Spielplan!$F$4:$F$31,6,Spielplan!$H$4:$H$31,3)+SUMIFS(Spielplan!$K$4:$K$31,Spielplan!$F$4:$F$31,3,Spielplan!$H$4:$H$31,6))&amp;":"&amp;(SUMIFS(Spielplan!$K$4:$K$31,Spielplan!$F$4:$F$31,6,Spielplan!$H$4:$H$31,3)+SUMIFS(Spielplan!$J$4:$J$31,Spielplan!$F$4:$F$31,3,Spielplan!$H$4:$H$31,6)))</f>
        <v>3:1</v>
      </c>
      <c r="E37" s="61" t="str">
        <f>IF((COUNTIFS(Spielplan!$F$4:$F$31,6,Spielplan!$H$4:$H$31,4,Spielplan!$L$4:$L$31,"&lt;&gt;")+COUNTIFS(Spielplan!$F$4:$F$31,4,Spielplan!$H$4:$H$31,6,Spielplan!$L$4:$L$31,"&lt;&gt;"))=0,"",(SUMIFS(Spielplan!$J$4:$J$31,Spielplan!$F$4:$F$31,6,Spielplan!$H$4:$H$31,4)+SUMIFS(Spielplan!$K$4:$K$31,Spielplan!$F$4:$F$31,4,Spielplan!$H$4:$H$31,6))&amp;":"&amp;(SUMIFS(Spielplan!$K$4:$K$31,Spielplan!$F$4:$F$31,6,Spielplan!$H$4:$H$31,4)+SUMIFS(Spielplan!$J$4:$J$31,Spielplan!$F$4:$F$31,4,Spielplan!$H$4:$H$31,6)))</f>
        <v>3:2</v>
      </c>
      <c r="F37" s="61" t="str">
        <f>IF((COUNTIFS(Spielplan!$F$4:$F$31,6,Spielplan!$H$4:$H$31,5,Spielplan!$L$4:$L$31,"&lt;&gt;")+COUNTIFS(Spielplan!$F$4:$F$31,5,Spielplan!$H$4:$H$31,6,Spielplan!$L$4:$L$31,"&lt;&gt;"))=0,"",(SUMIFS(Spielplan!$J$4:$J$31,Spielplan!$F$4:$F$31,6,Spielplan!$H$4:$H$31,5)+SUMIFS(Spielplan!$K$4:$K$31,Spielplan!$F$4:$F$31,5,Spielplan!$H$4:$H$31,6))&amp;":"&amp;(SUMIFS(Spielplan!$K$4:$K$31,Spielplan!$F$4:$F$31,6,Spielplan!$H$4:$H$31,5)+SUMIFS(Spielplan!$J$4:$J$31,Spielplan!$F$4:$F$31,5,Spielplan!$H$4:$H$31,6)))</f>
        <v>3:1</v>
      </c>
      <c r="G37" s="59" t="s">
        <v>78</v>
      </c>
      <c r="H37" s="61" t="str">
        <f>IF((COUNTIFS(Spielplan!$F$4:$F$31,6,Spielplan!$H$4:$H$31,7,Spielplan!$L$4:$L$31,"&lt;&gt;")+COUNTIFS(Spielplan!$F$4:$F$31,7,Spielplan!$H$4:$H$31,6,Spielplan!$L$4:$L$31,"&lt;&gt;"))=0,"",(SUMIFS(Spielplan!$J$4:$J$31,Spielplan!$F$4:$F$31,6,Spielplan!$H$4:$H$31,7)+SUMIFS(Spielplan!$K$4:$K$31,Spielplan!$F$4:$F$31,7,Spielplan!$H$4:$H$31,6))&amp;":"&amp;(SUMIFS(Spielplan!$K$4:$K$31,Spielplan!$F$4:$F$31,6,Spielplan!$H$4:$H$31,7)+SUMIFS(Spielplan!$J$4:$J$31,Spielplan!$F$4:$F$31,7,Spielplan!$H$4:$H$31,6)))</f>
        <v>2:3</v>
      </c>
      <c r="I37" s="61" t="str">
        <f>IF((COUNTIFS(Spielplan!$F$4:$F$31,6,Spielplan!$H$4:$H$31,8,Spielplan!$L$4:$L$31,"&lt;&gt;")+COUNTIFS(Spielplan!$F$4:$F$31,8,Spielplan!$H$4:$H$31,6,Spielplan!$L$4:$L$31,"&lt;&gt;"))=0,"",(SUMIFS(Spielplan!$J$4:$J$31,Spielplan!$F$4:$F$31,6,Spielplan!$H$4:$H$31,8)+SUMIFS(Spielplan!$K$4:$K$31,Spielplan!$F$4:$F$31,8,Spielplan!$H$4:$H$31,6))&amp;":"&amp;(SUMIFS(Spielplan!$K$4:$K$31,Spielplan!$F$4:$F$31,6,Spielplan!$H$4:$H$31,8)+SUMIFS(Spielplan!$J$4:$J$31,Spielplan!$F$4:$F$31,8,Spielplan!$H$4:$H$31,6)))</f>
        <v>3:0</v>
      </c>
    </row>
    <row r="38" spans="1:9" ht="18" customHeight="1" x14ac:dyDescent="0.25">
      <c r="A38" s="58" t="str">
        <f>IFERROR(INDEX(Teilnehmer!$B$4:$B$11,MATCH(7,Teilnehmer!$A$4:$A$11,0)),"")</f>
        <v>Paul Richter</v>
      </c>
      <c r="B38" s="60" t="str">
        <f>IF((COUNTIFS(Spielplan!$F$4:$F$31,7,Spielplan!$H$4:$H$31,1,Spielplan!$L$4:$L$31,"&lt;&gt;")+COUNTIFS(Spielplan!$F$4:$F$31,1,Spielplan!$H$4:$H$31,7,Spielplan!$L$4:$L$31,"&lt;&gt;"))=0,"",(SUMIFS(Spielplan!$J$4:$J$31,Spielplan!$F$4:$F$31,7,Spielplan!$H$4:$H$31,1)+SUMIFS(Spielplan!$K$4:$K$31,Spielplan!$F$4:$F$31,1,Spielplan!$H$4:$H$31,7))&amp;":"&amp;(SUMIFS(Spielplan!$K$4:$K$31,Spielplan!$F$4:$F$31,7,Spielplan!$H$4:$H$31,1)+SUMIFS(Spielplan!$J$4:$J$31,Spielplan!$F$4:$F$31,1,Spielplan!$H$4:$H$31,7)))</f>
        <v>1:3</v>
      </c>
      <c r="C38" s="60" t="str">
        <f>IF((COUNTIFS(Spielplan!$F$4:$F$31,7,Spielplan!$H$4:$H$31,2,Spielplan!$L$4:$L$31,"&lt;&gt;")+COUNTIFS(Spielplan!$F$4:$F$31,2,Spielplan!$H$4:$H$31,7,Spielplan!$L$4:$L$31,"&lt;&gt;"))=0,"",(SUMIFS(Spielplan!$J$4:$J$31,Spielplan!$F$4:$F$31,7,Spielplan!$H$4:$H$31,2)+SUMIFS(Spielplan!$K$4:$K$31,Spielplan!$F$4:$F$31,2,Spielplan!$H$4:$H$31,7))&amp;":"&amp;(SUMIFS(Spielplan!$K$4:$K$31,Spielplan!$F$4:$F$31,7,Spielplan!$H$4:$H$31,2)+SUMIFS(Spielplan!$J$4:$J$31,Spielplan!$F$4:$F$31,2,Spielplan!$H$4:$H$31,7)))</f>
        <v>3:1</v>
      </c>
      <c r="D38" s="60" t="str">
        <f>IF((COUNTIFS(Spielplan!$F$4:$F$31,7,Spielplan!$H$4:$H$31,3,Spielplan!$L$4:$L$31,"&lt;&gt;")+COUNTIFS(Spielplan!$F$4:$F$31,3,Spielplan!$H$4:$H$31,7,Spielplan!$L$4:$L$31,"&lt;&gt;"))=0,"",(SUMIFS(Spielplan!$J$4:$J$31,Spielplan!$F$4:$F$31,7,Spielplan!$H$4:$H$31,3)+SUMIFS(Spielplan!$K$4:$K$31,Spielplan!$F$4:$F$31,3,Spielplan!$H$4:$H$31,7))&amp;":"&amp;(SUMIFS(Spielplan!$K$4:$K$31,Spielplan!$F$4:$F$31,7,Spielplan!$H$4:$H$31,3)+SUMIFS(Spielplan!$J$4:$J$31,Spielplan!$F$4:$F$31,3,Spielplan!$H$4:$H$31,7)))</f>
        <v>2:3</v>
      </c>
      <c r="E38" s="60" t="str">
        <f>IF((COUNTIFS(Spielplan!$F$4:$F$31,7,Spielplan!$H$4:$H$31,4,Spielplan!$L$4:$L$31,"&lt;&gt;")+COUNTIFS(Spielplan!$F$4:$F$31,4,Spielplan!$H$4:$H$31,7,Spielplan!$L$4:$L$31,"&lt;&gt;"))=0,"",(SUMIFS(Spielplan!$J$4:$J$31,Spielplan!$F$4:$F$31,7,Spielplan!$H$4:$H$31,4)+SUMIFS(Spielplan!$K$4:$K$31,Spielplan!$F$4:$F$31,4,Spielplan!$H$4:$H$31,7))&amp;":"&amp;(SUMIFS(Spielplan!$K$4:$K$31,Spielplan!$F$4:$F$31,7,Spielplan!$H$4:$H$31,4)+SUMIFS(Spielplan!$J$4:$J$31,Spielplan!$F$4:$F$31,4,Spielplan!$H$4:$H$31,7)))</f>
        <v>1:3</v>
      </c>
      <c r="F38" s="60" t="str">
        <f>IF((COUNTIFS(Spielplan!$F$4:$F$31,7,Spielplan!$H$4:$H$31,5,Spielplan!$L$4:$L$31,"&lt;&gt;")+COUNTIFS(Spielplan!$F$4:$F$31,5,Spielplan!$H$4:$H$31,7,Spielplan!$L$4:$L$31,"&lt;&gt;"))=0,"",(SUMIFS(Spielplan!$J$4:$J$31,Spielplan!$F$4:$F$31,7,Spielplan!$H$4:$H$31,5)+SUMIFS(Spielplan!$K$4:$K$31,Spielplan!$F$4:$F$31,5,Spielplan!$H$4:$H$31,7))&amp;":"&amp;(SUMIFS(Spielplan!$K$4:$K$31,Spielplan!$F$4:$F$31,7,Spielplan!$H$4:$H$31,5)+SUMIFS(Spielplan!$J$4:$J$31,Spielplan!$F$4:$F$31,5,Spielplan!$H$4:$H$31,7)))</f>
        <v>3:0</v>
      </c>
      <c r="G38" s="60" t="str">
        <f>IF((COUNTIFS(Spielplan!$F$4:$F$31,7,Spielplan!$H$4:$H$31,6,Spielplan!$L$4:$L$31,"&lt;&gt;")+COUNTIFS(Spielplan!$F$4:$F$31,6,Spielplan!$H$4:$H$31,7,Spielplan!$L$4:$L$31,"&lt;&gt;"))=0,"",(SUMIFS(Spielplan!$J$4:$J$31,Spielplan!$F$4:$F$31,7,Spielplan!$H$4:$H$31,6)+SUMIFS(Spielplan!$K$4:$K$31,Spielplan!$F$4:$F$31,6,Spielplan!$H$4:$H$31,7))&amp;":"&amp;(SUMIFS(Spielplan!$K$4:$K$31,Spielplan!$F$4:$F$31,7,Spielplan!$H$4:$H$31,6)+SUMIFS(Spielplan!$J$4:$J$31,Spielplan!$F$4:$F$31,6,Spielplan!$H$4:$H$31,7)))</f>
        <v>3:2</v>
      </c>
      <c r="H38" s="59" t="s">
        <v>78</v>
      </c>
      <c r="I38" s="60" t="str">
        <f>IF((COUNTIFS(Spielplan!$F$4:$F$31,7,Spielplan!$H$4:$H$31,8,Spielplan!$L$4:$L$31,"&lt;&gt;")+COUNTIFS(Spielplan!$F$4:$F$31,8,Spielplan!$H$4:$H$31,7,Spielplan!$L$4:$L$31,"&lt;&gt;"))=0,"",(SUMIFS(Spielplan!$J$4:$J$31,Spielplan!$F$4:$F$31,7,Spielplan!$H$4:$H$31,8)+SUMIFS(Spielplan!$K$4:$K$31,Spielplan!$F$4:$F$31,8,Spielplan!$H$4:$H$31,7))&amp;":"&amp;(SUMIFS(Spielplan!$K$4:$K$31,Spielplan!$F$4:$F$31,7,Spielplan!$H$4:$H$31,8)+SUMIFS(Spielplan!$J$4:$J$31,Spielplan!$F$4:$F$31,8,Spielplan!$H$4:$H$31,7)))</f>
        <v>2:3</v>
      </c>
    </row>
    <row r="39" spans="1:9" ht="18" customHeight="1" x14ac:dyDescent="0.25">
      <c r="A39" s="58" t="str">
        <f>IFERROR(INDEX(Teilnehmer!$B$4:$B$11,MATCH(8,Teilnehmer!$A$4:$A$11,0)),"")</f>
        <v>Leon Neumann</v>
      </c>
      <c r="B39" s="61" t="str">
        <f>IF((COUNTIFS(Spielplan!$F$4:$F$31,8,Spielplan!$H$4:$H$31,1,Spielplan!$L$4:$L$31,"&lt;&gt;")+COUNTIFS(Spielplan!$F$4:$F$31,1,Spielplan!$H$4:$H$31,8,Spielplan!$L$4:$L$31,"&lt;&gt;"))=0,"",(SUMIFS(Spielplan!$J$4:$J$31,Spielplan!$F$4:$F$31,8,Spielplan!$H$4:$H$31,1)+SUMIFS(Spielplan!$K$4:$K$31,Spielplan!$F$4:$F$31,1,Spielplan!$H$4:$H$31,8))&amp;":"&amp;(SUMIFS(Spielplan!$K$4:$K$31,Spielplan!$F$4:$F$31,8,Spielplan!$H$4:$H$31,1)+SUMIFS(Spielplan!$J$4:$J$31,Spielplan!$F$4:$F$31,1,Spielplan!$H$4:$H$31,8)))</f>
        <v>1:3</v>
      </c>
      <c r="C39" s="61" t="str">
        <f>IF((COUNTIFS(Spielplan!$F$4:$F$31,8,Spielplan!$H$4:$H$31,2,Spielplan!$L$4:$L$31,"&lt;&gt;")+COUNTIFS(Spielplan!$F$4:$F$31,2,Spielplan!$H$4:$H$31,8,Spielplan!$L$4:$L$31,"&lt;&gt;"))=0,"",(SUMIFS(Spielplan!$J$4:$J$31,Spielplan!$F$4:$F$31,8,Spielplan!$H$4:$H$31,2)+SUMIFS(Spielplan!$K$4:$K$31,Spielplan!$F$4:$F$31,2,Spielplan!$H$4:$H$31,8))&amp;":"&amp;(SUMIFS(Spielplan!$K$4:$K$31,Spielplan!$F$4:$F$31,8,Spielplan!$H$4:$H$31,2)+SUMIFS(Spielplan!$J$4:$J$31,Spielplan!$F$4:$F$31,2,Spielplan!$H$4:$H$31,8)))</f>
        <v>2:3</v>
      </c>
      <c r="D39" s="61" t="str">
        <f>IF((COUNTIFS(Spielplan!$F$4:$F$31,8,Spielplan!$H$4:$H$31,3,Spielplan!$L$4:$L$31,"&lt;&gt;")+COUNTIFS(Spielplan!$F$4:$F$31,3,Spielplan!$H$4:$H$31,8,Spielplan!$L$4:$L$31,"&lt;&gt;"))=0,"",(SUMIFS(Spielplan!$J$4:$J$31,Spielplan!$F$4:$F$31,8,Spielplan!$H$4:$H$31,3)+SUMIFS(Spielplan!$K$4:$K$31,Spielplan!$F$4:$F$31,3,Spielplan!$H$4:$H$31,8))&amp;":"&amp;(SUMIFS(Spielplan!$K$4:$K$31,Spielplan!$F$4:$F$31,8,Spielplan!$H$4:$H$31,3)+SUMIFS(Spielplan!$J$4:$J$31,Spielplan!$F$4:$F$31,3,Spielplan!$H$4:$H$31,8)))</f>
        <v>0:3</v>
      </c>
      <c r="E39" s="61" t="str">
        <f>IF((COUNTIFS(Spielplan!$F$4:$F$31,8,Spielplan!$H$4:$H$31,4,Spielplan!$L$4:$L$31,"&lt;&gt;")+COUNTIFS(Spielplan!$F$4:$F$31,4,Spielplan!$H$4:$H$31,8,Spielplan!$L$4:$L$31,"&lt;&gt;"))=0,"",(SUMIFS(Spielplan!$J$4:$J$31,Spielplan!$F$4:$F$31,8,Spielplan!$H$4:$H$31,4)+SUMIFS(Spielplan!$K$4:$K$31,Spielplan!$F$4:$F$31,4,Spielplan!$H$4:$H$31,8))&amp;":"&amp;(SUMIFS(Spielplan!$K$4:$K$31,Spielplan!$F$4:$F$31,8,Spielplan!$H$4:$H$31,4)+SUMIFS(Spielplan!$J$4:$J$31,Spielplan!$F$4:$F$31,4,Spielplan!$H$4:$H$31,8)))</f>
        <v>1:3</v>
      </c>
      <c r="F39" s="61" t="str">
        <f>IF((COUNTIFS(Spielplan!$F$4:$F$31,8,Spielplan!$H$4:$H$31,5,Spielplan!$L$4:$L$31,"&lt;&gt;")+COUNTIFS(Spielplan!$F$4:$F$31,5,Spielplan!$H$4:$H$31,8,Spielplan!$L$4:$L$31,"&lt;&gt;"))=0,"",(SUMIFS(Spielplan!$J$4:$J$31,Spielplan!$F$4:$F$31,8,Spielplan!$H$4:$H$31,5)+SUMIFS(Spielplan!$K$4:$K$31,Spielplan!$F$4:$F$31,5,Spielplan!$H$4:$H$31,8))&amp;":"&amp;(SUMIFS(Spielplan!$K$4:$K$31,Spielplan!$F$4:$F$31,8,Spielplan!$H$4:$H$31,5)+SUMIFS(Spielplan!$J$4:$J$31,Spielplan!$F$4:$F$31,5,Spielplan!$H$4:$H$31,8)))</f>
        <v>2:3</v>
      </c>
      <c r="G39" s="61" t="str">
        <f>IF((COUNTIFS(Spielplan!$F$4:$F$31,8,Spielplan!$H$4:$H$31,6,Spielplan!$L$4:$L$31,"&lt;&gt;")+COUNTIFS(Spielplan!$F$4:$F$31,6,Spielplan!$H$4:$H$31,8,Spielplan!$L$4:$L$31,"&lt;&gt;"))=0,"",(SUMIFS(Spielplan!$J$4:$J$31,Spielplan!$F$4:$F$31,8,Spielplan!$H$4:$H$31,6)+SUMIFS(Spielplan!$K$4:$K$31,Spielplan!$F$4:$F$31,6,Spielplan!$H$4:$H$31,8))&amp;":"&amp;(SUMIFS(Spielplan!$K$4:$K$31,Spielplan!$F$4:$F$31,8,Spielplan!$H$4:$H$31,6)+SUMIFS(Spielplan!$J$4:$J$31,Spielplan!$F$4:$F$31,6,Spielplan!$H$4:$H$31,8)))</f>
        <v>0:3</v>
      </c>
      <c r="H39" s="61" t="str">
        <f>IF((COUNTIFS(Spielplan!$F$4:$F$31,8,Spielplan!$H$4:$H$31,7,Spielplan!$L$4:$L$31,"&lt;&gt;")+COUNTIFS(Spielplan!$F$4:$F$31,7,Spielplan!$H$4:$H$31,8,Spielplan!$L$4:$L$31,"&lt;&gt;"))=0,"",(SUMIFS(Spielplan!$J$4:$J$31,Spielplan!$F$4:$F$31,8,Spielplan!$H$4:$H$31,7)+SUMIFS(Spielplan!$K$4:$K$31,Spielplan!$F$4:$F$31,7,Spielplan!$H$4:$H$31,8))&amp;":"&amp;(SUMIFS(Spielplan!$K$4:$K$31,Spielplan!$F$4:$F$31,8,Spielplan!$H$4:$H$31,7)+SUMIFS(Spielplan!$J$4:$J$31,Spielplan!$F$4:$F$31,7,Spielplan!$H$4:$H$31,8)))</f>
        <v>3:2</v>
      </c>
      <c r="I39" s="59" t="s">
        <v>78</v>
      </c>
    </row>
    <row r="41" spans="1:9" ht="15" customHeight="1" x14ac:dyDescent="0.25">
      <c r="A41" s="2" t="s">
        <v>79</v>
      </c>
      <c r="B41" s="2"/>
      <c r="C41" s="2"/>
      <c r="D41" s="2"/>
      <c r="E41" s="2"/>
      <c r="F41" s="2"/>
      <c r="G41" s="2"/>
      <c r="H41" s="2"/>
      <c r="I41" s="2"/>
    </row>
  </sheetData>
  <mergeCells count="4">
    <mergeCell ref="A1:K1"/>
    <mergeCell ref="A2:K2"/>
    <mergeCell ref="A30:I30"/>
    <mergeCell ref="A41:I41"/>
  </mergeCells>
  <printOptions horizontalCentered="1"/>
  <pageMargins left="0.75" right="0.75" top="1" bottom="1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Teilnehmer</vt:lpstr>
      <vt:lpstr>Spielplan</vt:lpstr>
      <vt:lpstr>Rangliste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2026-08-22T10:49:13Z</dcterms:created>
  <dcterms:modified xsi:type="dcterms:W3CDTF">2026-08-22T14:57:52Z</dcterms:modified>
  <dc:language>en-US</dc:language>
</cp:coreProperties>
</file>