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30C6E9A2-DDB8-427D-97DF-DC3A4980FA6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Dashboard" sheetId="1" r:id="rId1"/>
    <sheet name="Teams" sheetId="2" r:id="rId2"/>
    <sheet name="Spielplan" sheetId="3" r:id="rId3"/>
    <sheet name="Tabelle" sheetId="4" r:id="rId4"/>
    <sheet name="K.O.-Runde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1" i="4" l="1"/>
  <c r="G31" i="4"/>
  <c r="I31" i="4" s="1"/>
  <c r="F31" i="4"/>
  <c r="E31" i="4"/>
  <c r="D31" i="4"/>
  <c r="J31" i="4" s="1"/>
  <c r="C31" i="4"/>
  <c r="H30" i="4"/>
  <c r="G30" i="4"/>
  <c r="I30" i="4" s="1"/>
  <c r="F30" i="4"/>
  <c r="E30" i="4"/>
  <c r="D30" i="4"/>
  <c r="J30" i="4" s="1"/>
  <c r="C30" i="4"/>
  <c r="H29" i="4"/>
  <c r="G29" i="4"/>
  <c r="I29" i="4" s="1"/>
  <c r="F29" i="4"/>
  <c r="E29" i="4"/>
  <c r="D29" i="4"/>
  <c r="J29" i="4" s="1"/>
  <c r="C29" i="4"/>
  <c r="H28" i="4"/>
  <c r="G28" i="4"/>
  <c r="I28" i="4" s="1"/>
  <c r="F28" i="4"/>
  <c r="E28" i="4"/>
  <c r="D28" i="4"/>
  <c r="J28" i="4" s="1"/>
  <c r="C28" i="4"/>
  <c r="H24" i="4"/>
  <c r="G24" i="4"/>
  <c r="I24" i="4" s="1"/>
  <c r="F24" i="4"/>
  <c r="E24" i="4"/>
  <c r="D24" i="4"/>
  <c r="J24" i="4" s="1"/>
  <c r="C24" i="4"/>
  <c r="H23" i="4"/>
  <c r="G23" i="4"/>
  <c r="I23" i="4" s="1"/>
  <c r="F23" i="4"/>
  <c r="E23" i="4"/>
  <c r="D23" i="4"/>
  <c r="J23" i="4" s="1"/>
  <c r="C23" i="4"/>
  <c r="H22" i="4"/>
  <c r="G22" i="4"/>
  <c r="I22" i="4" s="1"/>
  <c r="F22" i="4"/>
  <c r="E22" i="4"/>
  <c r="D22" i="4"/>
  <c r="J22" i="4" s="1"/>
  <c r="C22" i="4"/>
  <c r="H21" i="4"/>
  <c r="G21" i="4"/>
  <c r="I21" i="4" s="1"/>
  <c r="F21" i="4"/>
  <c r="E21" i="4"/>
  <c r="D21" i="4"/>
  <c r="J21" i="4" s="1"/>
  <c r="C21" i="4"/>
  <c r="H17" i="4"/>
  <c r="G17" i="4"/>
  <c r="I17" i="4" s="1"/>
  <c r="F17" i="4"/>
  <c r="E17" i="4"/>
  <c r="D17" i="4"/>
  <c r="J17" i="4" s="1"/>
  <c r="C17" i="4"/>
  <c r="H16" i="4"/>
  <c r="G16" i="4"/>
  <c r="I16" i="4" s="1"/>
  <c r="F16" i="4"/>
  <c r="E16" i="4"/>
  <c r="D16" i="4"/>
  <c r="J16" i="4" s="1"/>
  <c r="C16" i="4"/>
  <c r="H15" i="4"/>
  <c r="G15" i="4"/>
  <c r="I15" i="4" s="1"/>
  <c r="F15" i="4"/>
  <c r="E15" i="4"/>
  <c r="D15" i="4"/>
  <c r="J15" i="4" s="1"/>
  <c r="C15" i="4"/>
  <c r="H14" i="4"/>
  <c r="G14" i="4"/>
  <c r="I14" i="4" s="1"/>
  <c r="F14" i="4"/>
  <c r="E14" i="4"/>
  <c r="D14" i="4"/>
  <c r="J14" i="4" s="1"/>
  <c r="C14" i="4"/>
  <c r="H10" i="4"/>
  <c r="G10" i="4"/>
  <c r="I10" i="4" s="1"/>
  <c r="F10" i="4"/>
  <c r="E10" i="4"/>
  <c r="D10" i="4"/>
  <c r="J10" i="4" s="1"/>
  <c r="C10" i="4"/>
  <c r="H9" i="4"/>
  <c r="G9" i="4"/>
  <c r="I9" i="4" s="1"/>
  <c r="F9" i="4"/>
  <c r="E9" i="4"/>
  <c r="D9" i="4"/>
  <c r="J9" i="4" s="1"/>
  <c r="C9" i="4"/>
  <c r="H8" i="4"/>
  <c r="G8" i="4"/>
  <c r="I8" i="4" s="1"/>
  <c r="F8" i="4"/>
  <c r="E8" i="4"/>
  <c r="D8" i="4"/>
  <c r="J8" i="4" s="1"/>
  <c r="C8" i="4"/>
  <c r="H7" i="4"/>
  <c r="G7" i="4"/>
  <c r="I7" i="4" s="1"/>
  <c r="F7" i="4"/>
  <c r="E7" i="4"/>
  <c r="D7" i="4"/>
  <c r="J7" i="4" s="1"/>
  <c r="C7" i="4"/>
  <c r="N28" i="3"/>
  <c r="M28" i="3"/>
  <c r="L28" i="3"/>
  <c r="K28" i="3"/>
  <c r="N27" i="3"/>
  <c r="M27" i="3"/>
  <c r="L27" i="3"/>
  <c r="K27" i="3"/>
  <c r="N26" i="3"/>
  <c r="M26" i="3"/>
  <c r="L26" i="3"/>
  <c r="K26" i="3"/>
  <c r="N25" i="3"/>
  <c r="M25" i="3"/>
  <c r="L25" i="3"/>
  <c r="K25" i="3"/>
  <c r="N24" i="3"/>
  <c r="M24" i="3"/>
  <c r="L24" i="3"/>
  <c r="K24" i="3"/>
  <c r="N23" i="3"/>
  <c r="M23" i="3"/>
  <c r="L23" i="3"/>
  <c r="K23" i="3"/>
  <c r="N22" i="3"/>
  <c r="M22" i="3"/>
  <c r="L22" i="3"/>
  <c r="K22" i="3"/>
  <c r="N21" i="3"/>
  <c r="M21" i="3"/>
  <c r="L21" i="3"/>
  <c r="K21" i="3"/>
  <c r="N20" i="3"/>
  <c r="M20" i="3"/>
  <c r="L20" i="3"/>
  <c r="K20" i="3"/>
  <c r="N19" i="3"/>
  <c r="M19" i="3"/>
  <c r="L19" i="3"/>
  <c r="K19" i="3"/>
  <c r="N18" i="3"/>
  <c r="M18" i="3"/>
  <c r="L18" i="3"/>
  <c r="K18" i="3"/>
  <c r="N17" i="3"/>
  <c r="M17" i="3"/>
  <c r="L17" i="3"/>
  <c r="K17" i="3"/>
  <c r="N16" i="3"/>
  <c r="M16" i="3"/>
  <c r="L16" i="3"/>
  <c r="K16" i="3"/>
  <c r="N15" i="3"/>
  <c r="M15" i="3"/>
  <c r="L15" i="3"/>
  <c r="K15" i="3"/>
  <c r="N14" i="3"/>
  <c r="M14" i="3"/>
  <c r="L14" i="3"/>
  <c r="K14" i="3"/>
  <c r="N13" i="3"/>
  <c r="M13" i="3"/>
  <c r="L13" i="3"/>
  <c r="K13" i="3"/>
  <c r="N12" i="3"/>
  <c r="M12" i="3"/>
  <c r="L12" i="3"/>
  <c r="K12" i="3"/>
  <c r="N11" i="3"/>
  <c r="M11" i="3"/>
  <c r="L11" i="3"/>
  <c r="K11" i="3"/>
  <c r="N10" i="3"/>
  <c r="M10" i="3"/>
  <c r="L10" i="3"/>
  <c r="K10" i="3"/>
  <c r="N9" i="3"/>
  <c r="M9" i="3"/>
  <c r="L9" i="3"/>
  <c r="K9" i="3"/>
  <c r="N8" i="3"/>
  <c r="M8" i="3"/>
  <c r="L8" i="3"/>
  <c r="K8" i="3"/>
  <c r="N7" i="3"/>
  <c r="M7" i="3"/>
  <c r="L7" i="3"/>
  <c r="K7" i="3"/>
  <c r="N6" i="3"/>
  <c r="M6" i="3"/>
  <c r="L6" i="3"/>
  <c r="K6" i="3"/>
  <c r="N5" i="3"/>
  <c r="M5" i="3"/>
  <c r="L5" i="3"/>
  <c r="K5" i="3"/>
  <c r="J6" i="1"/>
  <c r="G6" i="1"/>
  <c r="D6" i="1"/>
  <c r="A6" i="1"/>
</calcChain>
</file>

<file path=xl/sharedStrings.xml><?xml version="1.0" encoding="utf-8"?>
<sst xmlns="http://schemas.openxmlformats.org/spreadsheetml/2006/main" count="528" uniqueCount="262">
  <si>
    <t>⚑  TURNIERPLAN 2026</t>
  </si>
  <si>
    <t>Allgemeine Turniervorlage  ·  Saison 2026  ·  Modus: Gruppenphase + K.O.</t>
  </si>
  <si>
    <t>Teams gesamt</t>
  </si>
  <si>
    <t>Gruppenspiele</t>
  </si>
  <si>
    <t>K.O.-Spiele</t>
  </si>
  <si>
    <t>Spiele gesamt</t>
  </si>
  <si>
    <t xml:space="preserve">  TURNIERDATEN (Anpassbar)</t>
  </si>
  <si>
    <t>Turniername</t>
  </si>
  <si>
    <t>Frühjahrsturnier 2026</t>
  </si>
  <si>
    <t>Veranstalter</t>
  </si>
  <si>
    <t>Sportverein / Organisation</t>
  </si>
  <si>
    <t>Austragungsort</t>
  </si>
  <si>
    <t>Sportzentrum Nord, Musterstadt</t>
  </si>
  <si>
    <t>Datum Beginn</t>
  </si>
  <si>
    <t>12. September 2026</t>
  </si>
  <si>
    <t>Datum Ende</t>
  </si>
  <si>
    <t>14. September 2026</t>
  </si>
  <si>
    <t>Anzahl Felder / Plätze</t>
  </si>
  <si>
    <t>4</t>
  </si>
  <si>
    <t>Spielzeit pro Partie</t>
  </si>
  <si>
    <t>15 Minuten</t>
  </si>
  <si>
    <t>Pausen zwischen Spielen</t>
  </si>
  <si>
    <t>5 Minuten</t>
  </si>
  <si>
    <t>Schiedsrichter</t>
  </si>
  <si>
    <t>2 je Spiel</t>
  </si>
  <si>
    <t>Kontakt Organisation</t>
  </si>
  <si>
    <t>info@turnier2026.de</t>
  </si>
  <si>
    <t xml:space="preserve">  TURNIERABLAUF — ZEITPLAN ÜBERSICHT</t>
  </si>
  <si>
    <t>Tag</t>
  </si>
  <si>
    <t>Uhrzeit</t>
  </si>
  <si>
    <t>Phase / Ereignis</t>
  </si>
  <si>
    <t>Beteiligte</t>
  </si>
  <si>
    <t>Platz/Ort</t>
  </si>
  <si>
    <t>Sa. 12.09.</t>
  </si>
  <si>
    <t>08:30</t>
  </si>
  <si>
    <t>Einlass &amp; Anmeldung</t>
  </si>
  <si>
    <t>Alle Teams / Veranstalter</t>
  </si>
  <si>
    <t>—</t>
  </si>
  <si>
    <t>09:00</t>
  </si>
  <si>
    <t>Eröffnung &amp; Einweisung</t>
  </si>
  <si>
    <t>Alle Teams</t>
  </si>
  <si>
    <t>Feld 1</t>
  </si>
  <si>
    <t>10:00 – 14:30</t>
  </si>
  <si>
    <t>Gruppenphase Gr. A &amp; B</t>
  </si>
  <si>
    <t>Teams Gruppe A &amp; B</t>
  </si>
  <si>
    <t>Felder 1–4</t>
  </si>
  <si>
    <t>So. 13.09.</t>
  </si>
  <si>
    <t>Gruppenphase Gr. C &amp; D</t>
  </si>
  <si>
    <t>Teams Gruppe C &amp; D</t>
  </si>
  <si>
    <t>Mo. 14.09.</t>
  </si>
  <si>
    <t>10:00</t>
  </si>
  <si>
    <t>Halbfinale 1</t>
  </si>
  <si>
    <t>1. Gr. A vs. 2. Gr. B</t>
  </si>
  <si>
    <t>11:30</t>
  </si>
  <si>
    <t>Halbfinale 2</t>
  </si>
  <si>
    <t>1. Gr. C vs. 2. Gr. D</t>
  </si>
  <si>
    <t>Feld 2</t>
  </si>
  <si>
    <t>14:00</t>
  </si>
  <si>
    <t>Spiel um Platz 3</t>
  </si>
  <si>
    <t>Verlierer HF 1 &amp; HF 2</t>
  </si>
  <si>
    <t>16:00</t>
  </si>
  <si>
    <t>🏆  Finale</t>
  </si>
  <si>
    <t>Sieger HF 1 &amp; HF 2</t>
  </si>
  <si>
    <t>17:30</t>
  </si>
  <si>
    <t>Siegerehrung &amp; Abschluss</t>
  </si>
  <si>
    <t>⚑  TURNIERPLAN 2026  —  TEILNEHMERLISTE</t>
  </si>
  <si>
    <t>Alle Teilnehmer werden hier erfasst. Gelb hinterlegte Felder sind Eingabefelder.</t>
  </si>
  <si>
    <t>ID</t>
  </si>
  <si>
    <t>Teamname / Teilnehmer</t>
  </si>
  <si>
    <t>Gruppe</t>
  </si>
  <si>
    <t>Setzplatz</t>
  </si>
  <si>
    <t>Ansprechpartner</t>
  </si>
  <si>
    <t>E-Mail</t>
  </si>
  <si>
    <t>Telefon</t>
  </si>
  <si>
    <t>Notizen</t>
  </si>
  <si>
    <t>T01</t>
  </si>
  <si>
    <t>Blitzfalken Augsburg</t>
  </si>
  <si>
    <t>A</t>
  </si>
  <si>
    <t>Henrik Brauer</t>
  </si>
  <si>
    <t>h.brauer@beispiel.de</t>
  </si>
  <si>
    <t>0821-112233</t>
  </si>
  <si>
    <t>T02</t>
  </si>
  <si>
    <t>Nordlicht United</t>
  </si>
  <si>
    <t>Clara Steinmann</t>
  </si>
  <si>
    <t>c.steinmann@beispiel.de</t>
  </si>
  <si>
    <t>040-556677</t>
  </si>
  <si>
    <t>T03</t>
  </si>
  <si>
    <t>FC Silberwolf</t>
  </si>
  <si>
    <t>David Kern</t>
  </si>
  <si>
    <t>d.kern@beispiel.de</t>
  </si>
  <si>
    <t>089-778899</t>
  </si>
  <si>
    <t>T04</t>
  </si>
  <si>
    <t>Schwarzburg SC</t>
  </si>
  <si>
    <t>Julia Faber</t>
  </si>
  <si>
    <t>j.faber@beispiel.de</t>
  </si>
  <si>
    <t>030-334455</t>
  </si>
  <si>
    <t>T05</t>
  </si>
  <si>
    <t>Adlerhorst Kickers</t>
  </si>
  <si>
    <t>B</t>
  </si>
  <si>
    <t>Moritz Haas</t>
  </si>
  <si>
    <t>m.haas@beispiel.de</t>
  </si>
  <si>
    <t>069-990011</t>
  </si>
  <si>
    <t>T06</t>
  </si>
  <si>
    <t>TSV Eisenbach</t>
  </si>
  <si>
    <t>Sabine Krüger</t>
  </si>
  <si>
    <t>s.krueger@beispiel.de</t>
  </si>
  <si>
    <t>0711-223344</t>
  </si>
  <si>
    <t>T07</t>
  </si>
  <si>
    <t>Rote Ritter Köln</t>
  </si>
  <si>
    <t>Thomas Voss</t>
  </si>
  <si>
    <t>t.voss@beispiel.de</t>
  </si>
  <si>
    <t>0221-445566</t>
  </si>
  <si>
    <t>T08</t>
  </si>
  <si>
    <t>Donauwind FC</t>
  </si>
  <si>
    <t>Nina Wolff</t>
  </si>
  <si>
    <t>n.wolff@beispiel.de</t>
  </si>
  <si>
    <t>089-667788</t>
  </si>
  <si>
    <t>T09</t>
  </si>
  <si>
    <t>Sturmkraft Hannover</t>
  </si>
  <si>
    <t>C</t>
  </si>
  <si>
    <t>Lars Richter</t>
  </si>
  <si>
    <t>l.richter@beispiel.de</t>
  </si>
  <si>
    <t>0511-889900</t>
  </si>
  <si>
    <t>T10</t>
  </si>
  <si>
    <t>Bergadler Freiburg</t>
  </si>
  <si>
    <t>Katrin Mayer</t>
  </si>
  <si>
    <t>k.mayer@beispiel.de</t>
  </si>
  <si>
    <t>0761-112233</t>
  </si>
  <si>
    <t>T11</t>
  </si>
  <si>
    <t>Silberstern FC</t>
  </si>
  <si>
    <t>Jonas Berg</t>
  </si>
  <si>
    <t>j.berg@beispiel.de</t>
  </si>
  <si>
    <t>0341-334455</t>
  </si>
  <si>
    <t>T12</t>
  </si>
  <si>
    <t>Phönix Regensburg</t>
  </si>
  <si>
    <t>Anna Holt</t>
  </si>
  <si>
    <t>a.holt@beispiel.de</t>
  </si>
  <si>
    <t>0941-556677</t>
  </si>
  <si>
    <t>T13</t>
  </si>
  <si>
    <t>Wiesenbären BSC</t>
  </si>
  <si>
    <t>D</t>
  </si>
  <si>
    <t>Felix Kunze</t>
  </si>
  <si>
    <t>f.kunze@beispiel.de</t>
  </si>
  <si>
    <t>0351-778899</t>
  </si>
  <si>
    <t>T14</t>
  </si>
  <si>
    <t>Hafenclub Hamburg</t>
  </si>
  <si>
    <t>Marie Lenz</t>
  </si>
  <si>
    <t>m.lenz@beispiel.de</t>
  </si>
  <si>
    <t>040-990011</t>
  </si>
  <si>
    <t>T15</t>
  </si>
  <si>
    <t>Turnier SC Nord</t>
  </si>
  <si>
    <t>Ben Schulze</t>
  </si>
  <si>
    <t>b.schulze@beispiel.de</t>
  </si>
  <si>
    <t>0431-112233</t>
  </si>
  <si>
    <t>T16</t>
  </si>
  <si>
    <t>FC Münzberg</t>
  </si>
  <si>
    <t>Sophie Rau</t>
  </si>
  <si>
    <t>s.rau@beispiel.de</t>
  </si>
  <si>
    <t>0228-334455</t>
  </si>
  <si>
    <t xml:space="preserve">  ℹ  LEGENDE &amp; HINWEISE</t>
  </si>
  <si>
    <t>🟡 Gelb = Eingabefelder (Gruppe, Setzplatz)   |   Creme-weiß = Freitext-Eingaben   |   ID-Kürzel werden im Spielplan referenziert</t>
  </si>
  <si>
    <t>▸ Gruppen A–D bilden die Gruppenphase. Je Gruppe treten 4 Teams im Jeder-gegen-Jeden-Modus an. Die besten 2 je Gruppe qualifizieren sich für die K.O.-Runde.</t>
  </si>
  <si>
    <t>⚑  TURNIERPLAN 2026  —  SPIELPLAN</t>
  </si>
  <si>
    <t>Ergebnisse in die orange Felder (Tore Heim / Gast) eintragen — Punkte und Sieger werden automatisch berechnet.</t>
  </si>
  <si>
    <t>Nr.</t>
  </si>
  <si>
    <t>Phase</t>
  </si>
  <si>
    <t>Runde</t>
  </si>
  <si>
    <t>Datum</t>
  </si>
  <si>
    <t>Platz</t>
  </si>
  <si>
    <t>Heim-Team</t>
  </si>
  <si>
    <t>Gast-Team</t>
  </si>
  <si>
    <t>Tore
Heim</t>
  </si>
  <si>
    <t>Tore
Gast</t>
  </si>
  <si>
    <t>Pkt
Heim</t>
  </si>
  <si>
    <t>Pkt
Gast</t>
  </si>
  <si>
    <t>Sieger / Ergebnis</t>
  </si>
  <si>
    <t>Status</t>
  </si>
  <si>
    <t>S01</t>
  </si>
  <si>
    <t>Gruppe A</t>
  </si>
  <si>
    <t>Spieltag 1</t>
  </si>
  <si>
    <t>12.09.2026</t>
  </si>
  <si>
    <t>S02</t>
  </si>
  <si>
    <t>S03</t>
  </si>
  <si>
    <t>Spieltag 2</t>
  </si>
  <si>
    <t>S04</t>
  </si>
  <si>
    <t>S05</t>
  </si>
  <si>
    <t>Spieltag 3</t>
  </si>
  <si>
    <t>13:00</t>
  </si>
  <si>
    <t>S06</t>
  </si>
  <si>
    <t>S07</t>
  </si>
  <si>
    <t>Gruppe B</t>
  </si>
  <si>
    <t>S08</t>
  </si>
  <si>
    <t>S09</t>
  </si>
  <si>
    <t>S10</t>
  </si>
  <si>
    <t>S11</t>
  </si>
  <si>
    <t>S12</t>
  </si>
  <si>
    <t>S13</t>
  </si>
  <si>
    <t>Gruppe C</t>
  </si>
  <si>
    <t>13.09.2026</t>
  </si>
  <si>
    <t>S14</t>
  </si>
  <si>
    <t>S15</t>
  </si>
  <si>
    <t>S16</t>
  </si>
  <si>
    <t>S17</t>
  </si>
  <si>
    <t>S18</t>
  </si>
  <si>
    <t>S19</t>
  </si>
  <si>
    <t>Gruppe D</t>
  </si>
  <si>
    <t>S20</t>
  </si>
  <si>
    <t>S21</t>
  </si>
  <si>
    <t>S22</t>
  </si>
  <si>
    <t>S23</t>
  </si>
  <si>
    <t>S24</t>
  </si>
  <si>
    <t>S25</t>
  </si>
  <si>
    <t>Halbfinale</t>
  </si>
  <si>
    <t>K.O.-Runde</t>
  </si>
  <si>
    <t>14.09.2026</t>
  </si>
  <si>
    <t>1. Gruppe A</t>
  </si>
  <si>
    <t>2. Gruppe B</t>
  </si>
  <si>
    <t>Wird ermittelt</t>
  </si>
  <si>
    <t>Ausstehend</t>
  </si>
  <si>
    <t>S26</t>
  </si>
  <si>
    <t>1. Gruppe C</t>
  </si>
  <si>
    <t>2. Gruppe D</t>
  </si>
  <si>
    <t>S27</t>
  </si>
  <si>
    <t>Spiel 3. Platz</t>
  </si>
  <si>
    <t>Verlierer HF 1</t>
  </si>
  <si>
    <t>Verlierer HF 2</t>
  </si>
  <si>
    <t>S28</t>
  </si>
  <si>
    <t>Finale</t>
  </si>
  <si>
    <t>Sieger HF 1</t>
  </si>
  <si>
    <t>Sieger HF 2</t>
  </si>
  <si>
    <t>🟠 Orange = Eingabefelder (Tore Heim / Gast eintragen)  |  Pkt-Spalten und Sieger werden automatisch berechnet  |  K.O.-Ergebnisse bitte manuell eintragen</t>
  </si>
  <si>
    <t>⚑  TURNIERPLAN 2026  —  GRUPPENRANGLISTEN</t>
  </si>
  <si>
    <t>Die Tabellen berechnen sich automatisch aus dem Spielplan-Blatt. Nur Ergebnisse im Blatt 'Spielplan' eintragen.</t>
  </si>
  <si>
    <t xml:space="preserve">  GRUPPE A</t>
  </si>
  <si>
    <t>Pl.</t>
  </si>
  <si>
    <t>Team</t>
  </si>
  <si>
    <t>Sp.</t>
  </si>
  <si>
    <t>S</t>
  </si>
  <si>
    <t>U</t>
  </si>
  <si>
    <t>N</t>
  </si>
  <si>
    <t>T+</t>
  </si>
  <si>
    <t>T-</t>
  </si>
  <si>
    <t>TD</t>
  </si>
  <si>
    <t>Pkt</t>
  </si>
  <si>
    <t>Aufstieg</t>
  </si>
  <si>
    <t>✔ Qualifiziert</t>
  </si>
  <si>
    <t>Ausgeschieden</t>
  </si>
  <si>
    <t xml:space="preserve">  GRUPPE B</t>
  </si>
  <si>
    <t xml:space="preserve">  GRUPPE C</t>
  </si>
  <si>
    <t xml:space="preserve">  GRUPPE D</t>
  </si>
  <si>
    <t>🏆 Goldene Felder = Pl. 1 &amp; 2 je Gruppe — qualifizieren sich für die K.O.-Runde  |  TD = Tordifferenz  |  Pl. = Platzierung (bei Punktgleichheit: TD, dann T+)</t>
  </si>
  <si>
    <t>⚑  TURNIERPLAN 2026  —  K.O.-BAUM</t>
  </si>
  <si>
    <t>Übersicht der K.O.-Runde — Ergebnisse im Blatt 'Spielplan' erfassen</t>
  </si>
  <si>
    <t>HALBFINALE</t>
  </si>
  <si>
    <t>FINALE</t>
  </si>
  <si>
    <t>vs.</t>
  </si>
  <si>
    <t>▸ HF-Sieger 1</t>
  </si>
  <si>
    <t>▸ HF-Sieger 2</t>
  </si>
  <si>
    <t>🏆  FINALE</t>
  </si>
  <si>
    <t>🏅  TURNIERSIEGER</t>
  </si>
  <si>
    <t>🥉  SPIEL UM PLATZ 3</t>
  </si>
  <si>
    <t>▸ 3. 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</si>
</sst>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"/>
      <color rgb="FF4A5568"/>
      <name val="Calibri"/>
      <charset val="1"/>
    </font>
    <font>
      <b/>
      <sz val="9"/>
      <color rgb="FFFFFFFF"/>
      <name val="Calibri"/>
      <charset val="1"/>
    </font>
    <font>
      <b/>
      <sz val="22"/>
      <color rgb="FF1B2A4A"/>
      <name val="Calibri"/>
      <charset val="1"/>
    </font>
    <font>
      <b/>
      <sz val="10"/>
      <color rgb="FFFFFFFF"/>
      <name val="Calibri"/>
      <charset val="1"/>
    </font>
    <font>
      <b/>
      <sz val="9"/>
      <color rgb="FF4A5568"/>
      <name val="Calibri"/>
      <charset val="1"/>
    </font>
    <font>
      <sz val="9"/>
      <color rgb="FF1B2A4A"/>
      <name val="Calibri"/>
      <charset val="1"/>
    </font>
    <font>
      <b/>
      <sz val="9"/>
      <color rgb="FFC8973A"/>
      <name val="Calibri"/>
      <charset val="1"/>
    </font>
    <font>
      <b/>
      <sz val="15"/>
      <color rgb="FFFFFFFF"/>
      <name val="Calibri"/>
      <charset val="1"/>
    </font>
    <font>
      <i/>
      <sz val="9"/>
      <color rgb="FF4A5568"/>
      <name val="Calibri"/>
      <charset val="1"/>
    </font>
    <font>
      <i/>
      <sz val="8"/>
      <color rgb="FF4A5568"/>
      <name val="Calibri"/>
      <charset val="1"/>
    </font>
    <font>
      <b/>
      <sz val="8"/>
      <color rgb="FF4A5568"/>
      <name val="Calibri"/>
      <charset val="1"/>
    </font>
    <font>
      <sz val="9"/>
      <color rgb="FF4A5568"/>
      <name val="Calibri"/>
      <charset val="1"/>
    </font>
    <font>
      <b/>
      <sz val="9"/>
      <color rgb="FF1B2A4A"/>
      <name val="Calibri"/>
      <charset val="1"/>
    </font>
    <font>
      <b/>
      <sz val="10"/>
      <color rgb="FF1B2A4A"/>
      <name val="Calibri"/>
      <charset val="1"/>
    </font>
    <font>
      <sz val="8"/>
      <color rgb="FF4A5568"/>
      <name val="Calibri"/>
      <charset val="1"/>
    </font>
    <font>
      <b/>
      <sz val="11"/>
      <color rgb="FFFFFFFF"/>
      <name val="Calibri"/>
      <charset val="1"/>
    </font>
    <font>
      <b/>
      <sz val="10"/>
      <color rgb="FFC8973A"/>
      <name val="Calibri"/>
      <charset val="1"/>
    </font>
    <font>
      <sz val="10"/>
      <color rgb="FF1B2A4A"/>
      <name val="Calibri"/>
      <charset val="1"/>
    </font>
    <font>
      <b/>
      <sz val="12"/>
      <color rgb="FF1B2A4A"/>
      <name val="Calibri"/>
      <charset val="1"/>
    </font>
    <font>
      <b/>
      <sz val="12"/>
      <color rgb="FFC8973A"/>
      <name val="Calibri"/>
      <charset val="1"/>
    </font>
    <font>
      <b/>
      <i/>
      <sz val="9"/>
      <color rgb="FF4A5568"/>
      <name val="Calibri"/>
      <charset val="1"/>
    </font>
    <font>
      <b/>
      <sz val="12"/>
      <color rgb="FF0F1E35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0F1E35"/>
        <bgColor rgb="FF1B2A4A"/>
      </patternFill>
    </fill>
    <fill>
      <patternFill patternType="solid">
        <fgColor rgb="FFC8973A"/>
        <bgColor rgb="FF969696"/>
      </patternFill>
    </fill>
    <fill>
      <patternFill patternType="solid">
        <fgColor rgb="FF4A5568"/>
        <bgColor rgb="FF333399"/>
      </patternFill>
    </fill>
    <fill>
      <patternFill patternType="solid">
        <fgColor rgb="FFF5E0B5"/>
        <bgColor rgb="FFFFE8C0"/>
      </patternFill>
    </fill>
    <fill>
      <patternFill patternType="solid">
        <fgColor rgb="FF1B2A4A"/>
        <bgColor rgb="FF0F1E35"/>
      </patternFill>
    </fill>
    <fill>
      <patternFill patternType="solid">
        <fgColor rgb="FFEDF0F5"/>
        <bgColor rgb="FFEAF3FB"/>
      </patternFill>
    </fill>
    <fill>
      <patternFill patternType="solid">
        <fgColor rgb="FFFEF9ED"/>
        <bgColor rgb="FFFFFFFF"/>
      </patternFill>
    </fill>
    <fill>
      <patternFill patternType="solid">
        <fgColor rgb="FFFFFFFF"/>
        <bgColor rgb="FFFEF9ED"/>
      </patternFill>
    </fill>
    <fill>
      <patternFill patternType="solid">
        <fgColor rgb="FFD5E8F5"/>
        <bgColor rgb="FFE0ECF8"/>
      </patternFill>
    </fill>
    <fill>
      <patternFill patternType="solid">
        <fgColor rgb="FFFFE8C0"/>
        <bgColor rgb="FFFDEBD0"/>
      </patternFill>
    </fill>
    <fill>
      <patternFill patternType="solid">
        <fgColor rgb="FFEAF3FB"/>
        <bgColor rgb="FFEDF0F5"/>
      </patternFill>
    </fill>
    <fill>
      <patternFill patternType="solid">
        <fgColor rgb="FFFCF0D5"/>
        <bgColor rgb="FFFDEBD0"/>
      </patternFill>
    </fill>
    <fill>
      <patternFill patternType="solid">
        <fgColor rgb="FFFDEBD0"/>
        <bgColor rgb="FFFCF0D5"/>
      </patternFill>
    </fill>
    <fill>
      <patternFill patternType="solid">
        <fgColor rgb="FFE0ECF8"/>
        <bgColor rgb="FFD5E8F5"/>
      </patternFill>
    </fill>
  </fills>
  <borders count="12">
    <border>
      <left/>
      <right/>
      <top/>
      <bottom/>
      <diagonal/>
    </border>
    <border>
      <left style="medium">
        <color rgb="FFC8973A"/>
      </left>
      <right/>
      <top style="medium">
        <color rgb="FFC8973A"/>
      </top>
      <bottom style="medium">
        <color rgb="FFC8973A"/>
      </bottom>
      <diagonal/>
    </border>
    <border>
      <left style="thin">
        <color rgb="FFC5CDD9"/>
      </left>
      <right style="thin">
        <color rgb="FFC5CDD9"/>
      </right>
      <top style="thin">
        <color rgb="FFC5CDD9"/>
      </top>
      <bottom style="medium">
        <color rgb="FFC8973A"/>
      </bottom>
      <diagonal/>
    </border>
    <border>
      <left style="thin">
        <color rgb="FFC5CDD9"/>
      </left>
      <right/>
      <top style="thin">
        <color rgb="FFC5CDD9"/>
      </top>
      <bottom style="thin">
        <color rgb="FFC5CDD9"/>
      </bottom>
      <diagonal/>
    </border>
    <border>
      <left style="thin">
        <color rgb="FFC5CDD9"/>
      </left>
      <right style="thin">
        <color rgb="FFC5CDD9"/>
      </right>
      <top style="thin">
        <color rgb="FFC5CDD9"/>
      </top>
      <bottom style="thin">
        <color rgb="FFC5CDD9"/>
      </bottom>
      <diagonal/>
    </border>
    <border>
      <left style="thin">
        <color rgb="FFC5CDD9"/>
      </left>
      <right/>
      <top style="thin">
        <color rgb="FFC5CDD9"/>
      </top>
      <bottom style="medium">
        <color rgb="FFC8973A"/>
      </bottom>
      <diagonal/>
    </border>
    <border>
      <left style="medium">
        <color rgb="FF1B2A4A"/>
      </left>
      <right/>
      <top style="medium">
        <color rgb="FF1B2A4A"/>
      </top>
      <bottom style="medium">
        <color rgb="FF1B2A4A"/>
      </bottom>
      <diagonal/>
    </border>
    <border>
      <left style="thin">
        <color rgb="FFC5CDD9"/>
      </left>
      <right/>
      <top style="thin">
        <color rgb="FFC5CDD9"/>
      </top>
      <bottom/>
      <diagonal/>
    </border>
    <border>
      <left style="medium">
        <color rgb="FF1B2A4A"/>
      </left>
      <right/>
      <top style="medium">
        <color rgb="FF1B2A4A"/>
      </top>
      <bottom/>
      <diagonal/>
    </border>
    <border>
      <left style="thin">
        <color rgb="FFC5CDD9"/>
      </left>
      <right/>
      <top style="medium">
        <color rgb="FFC8973A"/>
      </top>
      <bottom style="thin">
        <color rgb="FFC5CDD9"/>
      </bottom>
      <diagonal/>
    </border>
    <border>
      <left/>
      <right style="thin">
        <color rgb="FFC5CDD9"/>
      </right>
      <top style="medium">
        <color rgb="FFC8973A"/>
      </top>
      <bottom style="thin">
        <color rgb="FFC5CDD9"/>
      </bottom>
      <diagonal/>
    </border>
    <border>
      <left/>
      <right/>
      <top style="medium">
        <color rgb="FFC8973A"/>
      </top>
      <bottom style="thin">
        <color rgb="FFC5CDD9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4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5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3" fillId="4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left" vertical="center"/>
    </xf>
    <xf numFmtId="0" fontId="13" fillId="10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left" vertical="center"/>
    </xf>
    <xf numFmtId="0" fontId="13" fillId="13" borderId="4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left" vertical="center"/>
    </xf>
    <xf numFmtId="0" fontId="13" fillId="14" borderId="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/>
    </xf>
    <xf numFmtId="0" fontId="13" fillId="7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6" borderId="2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7" borderId="7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DEBD0"/>
      <rgbColor rgb="FF808080"/>
      <rgbColor rgb="FF9999FF"/>
      <rgbColor rgb="FF993366"/>
      <rgbColor rgb="FFFEF9ED"/>
      <rgbColor rgb="FFE0ECF8"/>
      <rgbColor rgb="FF660066"/>
      <rgbColor rgb="FFFF8080"/>
      <rgbColor rgb="FF0066CC"/>
      <rgbColor rgb="FFC5CD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5E8F5"/>
      <rgbColor rgb="FFEAF3FB"/>
      <rgbColor rgb="FFFFE8C0"/>
      <rgbColor rgb="FFEDF0F5"/>
      <rgbColor rgb="FFFCF0D5"/>
      <rgbColor rgb="FFCC99FF"/>
      <rgbColor rgb="FFF5E0B5"/>
      <rgbColor rgb="FF3366FF"/>
      <rgbColor rgb="FF33CCCC"/>
      <rgbColor rgb="FF99CC00"/>
      <rgbColor rgb="FFFFCC00"/>
      <rgbColor rgb="FFC8973A"/>
      <rgbColor rgb="FFFF6600"/>
      <rgbColor rgb="FF4A5568"/>
      <rgbColor rgb="FF969696"/>
      <rgbColor rgb="FF0F1E35"/>
      <rgbColor rgb="FF339966"/>
      <rgbColor rgb="FF003300"/>
      <rgbColor rgb="FF333300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A5568"/>
  </sheetPr>
  <dimension ref="A1:L31"/>
  <sheetViews>
    <sheetView showGridLines="0" tabSelected="1" zoomScaleNormal="100" workbookViewId="0">
      <selection activeCell="S35" sqref="S35"/>
    </sheetView>
  </sheetViews>
  <sheetFormatPr baseColWidth="10" defaultColWidth="8.7109375" defaultRowHeight="15" x14ac:dyDescent="0.25"/>
  <cols>
    <col min="1" max="12" width="9.42578125" customWidth="1"/>
  </cols>
  <sheetData>
    <row r="1" spans="1:12" ht="49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1.7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2" ht="21.75" customHeight="1" x14ac:dyDescent="0.25">
      <c r="A5" s="11" t="s">
        <v>2</v>
      </c>
      <c r="B5" s="11"/>
      <c r="C5" s="11"/>
      <c r="D5" s="11" t="s">
        <v>3</v>
      </c>
      <c r="E5" s="11"/>
      <c r="F5" s="11"/>
      <c r="G5" s="11" t="s">
        <v>4</v>
      </c>
      <c r="H5" s="11"/>
      <c r="I5" s="11"/>
      <c r="J5" s="11" t="s">
        <v>5</v>
      </c>
      <c r="K5" s="11"/>
      <c r="L5" s="11"/>
    </row>
    <row r="6" spans="1:12" ht="39.75" customHeight="1" x14ac:dyDescent="0.25">
      <c r="A6" s="10">
        <f>COUNTA(Teams!B5:B20)</f>
        <v>16</v>
      </c>
      <c r="B6" s="10"/>
      <c r="C6" s="10"/>
      <c r="D6" s="10">
        <f>24</f>
        <v>24</v>
      </c>
      <c r="E6" s="10"/>
      <c r="F6" s="10"/>
      <c r="G6" s="10">
        <f>4</f>
        <v>4</v>
      </c>
      <c r="H6" s="10"/>
      <c r="I6" s="10"/>
      <c r="J6" s="10">
        <f>28</f>
        <v>28</v>
      </c>
      <c r="K6" s="10"/>
      <c r="L6" s="10"/>
    </row>
    <row r="7" spans="1:12" ht="18" customHeight="1" x14ac:dyDescent="0.25"/>
    <row r="8" spans="1:12" ht="7.5" customHeight="1" x14ac:dyDescent="0.25"/>
    <row r="9" spans="1:12" ht="24" customHeight="1" x14ac:dyDescent="0.25">
      <c r="A9" s="9" t="s">
        <v>6</v>
      </c>
      <c r="B9" s="9"/>
      <c r="C9" s="9"/>
      <c r="D9" s="9"/>
      <c r="E9" s="9"/>
      <c r="F9" s="9"/>
    </row>
    <row r="10" spans="1:12" ht="19.5" customHeight="1" x14ac:dyDescent="0.25">
      <c r="A10" s="8" t="s">
        <v>7</v>
      </c>
      <c r="B10" s="8"/>
      <c r="C10" s="7" t="s">
        <v>8</v>
      </c>
      <c r="D10" s="7"/>
      <c r="E10" s="7"/>
      <c r="F10" s="7"/>
    </row>
    <row r="11" spans="1:12" ht="19.5" customHeight="1" x14ac:dyDescent="0.25">
      <c r="A11" s="8" t="s">
        <v>9</v>
      </c>
      <c r="B11" s="8"/>
      <c r="C11" s="7" t="s">
        <v>10</v>
      </c>
      <c r="D11" s="7"/>
      <c r="E11" s="7"/>
      <c r="F11" s="7"/>
    </row>
    <row r="12" spans="1:12" ht="19.5" customHeight="1" x14ac:dyDescent="0.25">
      <c r="A12" s="8" t="s">
        <v>11</v>
      </c>
      <c r="B12" s="8"/>
      <c r="C12" s="7" t="s">
        <v>12</v>
      </c>
      <c r="D12" s="7"/>
      <c r="E12" s="7"/>
      <c r="F12" s="7"/>
    </row>
    <row r="13" spans="1:12" ht="19.5" customHeight="1" x14ac:dyDescent="0.25">
      <c r="A13" s="8" t="s">
        <v>13</v>
      </c>
      <c r="B13" s="8"/>
      <c r="C13" s="7" t="s">
        <v>14</v>
      </c>
      <c r="D13" s="7"/>
      <c r="E13" s="7"/>
      <c r="F13" s="7"/>
    </row>
    <row r="14" spans="1:12" ht="19.5" customHeight="1" x14ac:dyDescent="0.25">
      <c r="A14" s="8" t="s">
        <v>15</v>
      </c>
      <c r="B14" s="8"/>
      <c r="C14" s="7" t="s">
        <v>16</v>
      </c>
      <c r="D14" s="7"/>
      <c r="E14" s="7"/>
      <c r="F14" s="7"/>
    </row>
    <row r="15" spans="1:12" ht="19.5" customHeight="1" x14ac:dyDescent="0.25">
      <c r="A15" s="8" t="s">
        <v>17</v>
      </c>
      <c r="B15" s="8"/>
      <c r="C15" s="7" t="s">
        <v>18</v>
      </c>
      <c r="D15" s="7"/>
      <c r="E15" s="7"/>
      <c r="F15" s="7"/>
    </row>
    <row r="16" spans="1:12" ht="19.5" customHeight="1" x14ac:dyDescent="0.25">
      <c r="A16" s="8" t="s">
        <v>19</v>
      </c>
      <c r="B16" s="8"/>
      <c r="C16" s="7" t="s">
        <v>20</v>
      </c>
      <c r="D16" s="7"/>
      <c r="E16" s="7"/>
      <c r="F16" s="7"/>
    </row>
    <row r="17" spans="1:12" ht="19.5" customHeight="1" x14ac:dyDescent="0.25">
      <c r="A17" s="8" t="s">
        <v>21</v>
      </c>
      <c r="B17" s="8"/>
      <c r="C17" s="7" t="s">
        <v>22</v>
      </c>
      <c r="D17" s="7"/>
      <c r="E17" s="7"/>
      <c r="F17" s="7"/>
    </row>
    <row r="18" spans="1:12" ht="19.5" customHeight="1" x14ac:dyDescent="0.25">
      <c r="A18" s="8" t="s">
        <v>23</v>
      </c>
      <c r="B18" s="8"/>
      <c r="C18" s="7" t="s">
        <v>24</v>
      </c>
      <c r="D18" s="7"/>
      <c r="E18" s="7"/>
      <c r="F18" s="7"/>
    </row>
    <row r="19" spans="1:12" ht="19.5" customHeight="1" x14ac:dyDescent="0.25">
      <c r="A19" s="8" t="s">
        <v>25</v>
      </c>
      <c r="B19" s="8"/>
      <c r="C19" s="7" t="s">
        <v>26</v>
      </c>
      <c r="D19" s="7"/>
      <c r="E19" s="7"/>
      <c r="F19" s="7"/>
    </row>
    <row r="20" spans="1:12" ht="7.5" customHeight="1" x14ac:dyDescent="0.25"/>
    <row r="21" spans="1:12" ht="24" customHeight="1" thickBot="1" x14ac:dyDescent="0.3">
      <c r="A21" s="9" t="s">
        <v>27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9.5" customHeight="1" x14ac:dyDescent="0.25">
      <c r="A22" s="66" t="s">
        <v>28</v>
      </c>
      <c r="B22" s="67"/>
      <c r="C22" s="66" t="s">
        <v>29</v>
      </c>
      <c r="D22" s="67"/>
      <c r="E22" s="66" t="s">
        <v>30</v>
      </c>
      <c r="F22" s="68"/>
      <c r="G22" s="68"/>
      <c r="H22" s="67"/>
      <c r="I22" s="66" t="s">
        <v>31</v>
      </c>
      <c r="J22" s="67"/>
      <c r="K22" s="66" t="s">
        <v>32</v>
      </c>
      <c r="L22" s="67"/>
    </row>
    <row r="23" spans="1:12" ht="19.5" customHeight="1" x14ac:dyDescent="0.25">
      <c r="A23" s="6" t="s">
        <v>33</v>
      </c>
      <c r="B23" s="6"/>
      <c r="C23" s="6" t="s">
        <v>34</v>
      </c>
      <c r="D23" s="6"/>
      <c r="E23" s="6" t="s">
        <v>35</v>
      </c>
      <c r="F23" s="6"/>
      <c r="G23" s="6"/>
      <c r="H23" s="6"/>
      <c r="I23" s="6" t="s">
        <v>36</v>
      </c>
      <c r="J23" s="6"/>
      <c r="K23" s="6" t="s">
        <v>37</v>
      </c>
      <c r="L23" s="6"/>
    </row>
    <row r="24" spans="1:12" ht="19.5" customHeight="1" x14ac:dyDescent="0.25">
      <c r="A24" s="5" t="s">
        <v>33</v>
      </c>
      <c r="B24" s="5"/>
      <c r="C24" s="5" t="s">
        <v>38</v>
      </c>
      <c r="D24" s="5"/>
      <c r="E24" s="5" t="s">
        <v>39</v>
      </c>
      <c r="F24" s="5"/>
      <c r="G24" s="5"/>
      <c r="H24" s="5"/>
      <c r="I24" s="5" t="s">
        <v>40</v>
      </c>
      <c r="J24" s="5"/>
      <c r="K24" s="5" t="s">
        <v>41</v>
      </c>
      <c r="L24" s="5"/>
    </row>
    <row r="25" spans="1:12" ht="19.5" customHeight="1" x14ac:dyDescent="0.25">
      <c r="A25" s="6" t="s">
        <v>33</v>
      </c>
      <c r="B25" s="6"/>
      <c r="C25" s="6" t="s">
        <v>42</v>
      </c>
      <c r="D25" s="6"/>
      <c r="E25" s="6" t="s">
        <v>43</v>
      </c>
      <c r="F25" s="6"/>
      <c r="G25" s="6"/>
      <c r="H25" s="6"/>
      <c r="I25" s="6" t="s">
        <v>44</v>
      </c>
      <c r="J25" s="6"/>
      <c r="K25" s="6" t="s">
        <v>45</v>
      </c>
      <c r="L25" s="6"/>
    </row>
    <row r="26" spans="1:12" ht="19.5" customHeight="1" x14ac:dyDescent="0.25">
      <c r="A26" s="5" t="s">
        <v>46</v>
      </c>
      <c r="B26" s="5"/>
      <c r="C26" s="5" t="s">
        <v>42</v>
      </c>
      <c r="D26" s="5"/>
      <c r="E26" s="5" t="s">
        <v>47</v>
      </c>
      <c r="F26" s="5"/>
      <c r="G26" s="5"/>
      <c r="H26" s="5"/>
      <c r="I26" s="5" t="s">
        <v>48</v>
      </c>
      <c r="J26" s="5"/>
      <c r="K26" s="5" t="s">
        <v>45</v>
      </c>
      <c r="L26" s="5"/>
    </row>
    <row r="27" spans="1:12" ht="19.5" customHeight="1" x14ac:dyDescent="0.25">
      <c r="A27" s="6" t="s">
        <v>49</v>
      </c>
      <c r="B27" s="6"/>
      <c r="C27" s="6" t="s">
        <v>50</v>
      </c>
      <c r="D27" s="6"/>
      <c r="E27" s="6" t="s">
        <v>51</v>
      </c>
      <c r="F27" s="6"/>
      <c r="G27" s="6"/>
      <c r="H27" s="6"/>
      <c r="I27" s="6" t="s">
        <v>52</v>
      </c>
      <c r="J27" s="6"/>
      <c r="K27" s="6" t="s">
        <v>41</v>
      </c>
      <c r="L27" s="6"/>
    </row>
    <row r="28" spans="1:12" ht="19.5" customHeight="1" x14ac:dyDescent="0.25">
      <c r="A28" s="5" t="s">
        <v>49</v>
      </c>
      <c r="B28" s="5"/>
      <c r="C28" s="5" t="s">
        <v>53</v>
      </c>
      <c r="D28" s="5"/>
      <c r="E28" s="5" t="s">
        <v>54</v>
      </c>
      <c r="F28" s="5"/>
      <c r="G28" s="5"/>
      <c r="H28" s="5"/>
      <c r="I28" s="5" t="s">
        <v>55</v>
      </c>
      <c r="J28" s="5"/>
      <c r="K28" s="5" t="s">
        <v>56</v>
      </c>
      <c r="L28" s="5"/>
    </row>
    <row r="29" spans="1:12" ht="19.5" customHeight="1" x14ac:dyDescent="0.25">
      <c r="A29" s="6" t="s">
        <v>49</v>
      </c>
      <c r="B29" s="6"/>
      <c r="C29" s="6" t="s">
        <v>57</v>
      </c>
      <c r="D29" s="6"/>
      <c r="E29" s="6" t="s">
        <v>58</v>
      </c>
      <c r="F29" s="6"/>
      <c r="G29" s="6"/>
      <c r="H29" s="6"/>
      <c r="I29" s="6" t="s">
        <v>59</v>
      </c>
      <c r="J29" s="6"/>
      <c r="K29" s="6" t="s">
        <v>41</v>
      </c>
      <c r="L29" s="6"/>
    </row>
    <row r="30" spans="1:12" ht="19.5" customHeight="1" x14ac:dyDescent="0.25">
      <c r="A30" s="4" t="s">
        <v>49</v>
      </c>
      <c r="B30" s="4"/>
      <c r="C30" s="4" t="s">
        <v>60</v>
      </c>
      <c r="D30" s="4"/>
      <c r="E30" s="4" t="s">
        <v>61</v>
      </c>
      <c r="F30" s="4"/>
      <c r="G30" s="4"/>
      <c r="H30" s="4"/>
      <c r="I30" s="4" t="s">
        <v>62</v>
      </c>
      <c r="J30" s="4"/>
      <c r="K30" s="4" t="s">
        <v>41</v>
      </c>
      <c r="L30" s="4"/>
    </row>
    <row r="31" spans="1:12" ht="19.5" customHeight="1" x14ac:dyDescent="0.25">
      <c r="A31" s="6" t="s">
        <v>49</v>
      </c>
      <c r="B31" s="6"/>
      <c r="C31" s="6" t="s">
        <v>63</v>
      </c>
      <c r="D31" s="6"/>
      <c r="E31" s="6" t="s">
        <v>64</v>
      </c>
      <c r="F31" s="6"/>
      <c r="G31" s="6"/>
      <c r="H31" s="6"/>
      <c r="I31" s="6" t="s">
        <v>40</v>
      </c>
      <c r="J31" s="6"/>
      <c r="K31" s="6" t="s">
        <v>41</v>
      </c>
      <c r="L31" s="6"/>
    </row>
  </sheetData>
  <mergeCells count="82">
    <mergeCell ref="A22:B22"/>
    <mergeCell ref="C22:D22"/>
    <mergeCell ref="E22:H22"/>
    <mergeCell ref="I22:J22"/>
    <mergeCell ref="K22:L22"/>
    <mergeCell ref="A31:B31"/>
    <mergeCell ref="C31:D31"/>
    <mergeCell ref="E31:H31"/>
    <mergeCell ref="I31:J31"/>
    <mergeCell ref="K31:L31"/>
    <mergeCell ref="A30:B30"/>
    <mergeCell ref="C30:D30"/>
    <mergeCell ref="E30:H30"/>
    <mergeCell ref="I30:J30"/>
    <mergeCell ref="K30:L30"/>
    <mergeCell ref="A29:B29"/>
    <mergeCell ref="C29:D29"/>
    <mergeCell ref="E29:H29"/>
    <mergeCell ref="I29:J29"/>
    <mergeCell ref="K29:L29"/>
    <mergeCell ref="A28:B28"/>
    <mergeCell ref="C28:D28"/>
    <mergeCell ref="E28:H28"/>
    <mergeCell ref="I28:J28"/>
    <mergeCell ref="K28:L28"/>
    <mergeCell ref="A27:B27"/>
    <mergeCell ref="C27:D27"/>
    <mergeCell ref="E27:H27"/>
    <mergeCell ref="I27:J27"/>
    <mergeCell ref="K27:L27"/>
    <mergeCell ref="A26:B26"/>
    <mergeCell ref="C26:D26"/>
    <mergeCell ref="E26:H26"/>
    <mergeCell ref="I26:J26"/>
    <mergeCell ref="K26:L26"/>
    <mergeCell ref="A25:B25"/>
    <mergeCell ref="C25:D25"/>
    <mergeCell ref="E25:H25"/>
    <mergeCell ref="I25:J25"/>
    <mergeCell ref="K25:L25"/>
    <mergeCell ref="A24:B24"/>
    <mergeCell ref="C24:D24"/>
    <mergeCell ref="E24:H24"/>
    <mergeCell ref="I24:J24"/>
    <mergeCell ref="K24:L24"/>
    <mergeCell ref="A23:B23"/>
    <mergeCell ref="C23:D23"/>
    <mergeCell ref="E23:H23"/>
    <mergeCell ref="I23:J23"/>
    <mergeCell ref="K23:L23"/>
    <mergeCell ref="A19:B19"/>
    <mergeCell ref="C19:F19"/>
    <mergeCell ref="A21:L21"/>
    <mergeCell ref="A16:B16"/>
    <mergeCell ref="C16:F16"/>
    <mergeCell ref="A17:B17"/>
    <mergeCell ref="C17:F17"/>
    <mergeCell ref="A18:B18"/>
    <mergeCell ref="C18:F18"/>
    <mergeCell ref="A13:B13"/>
    <mergeCell ref="C13:F13"/>
    <mergeCell ref="A14:B14"/>
    <mergeCell ref="C14:F14"/>
    <mergeCell ref="A15:B15"/>
    <mergeCell ref="C15:F15"/>
    <mergeCell ref="A10:B10"/>
    <mergeCell ref="C10:F10"/>
    <mergeCell ref="A11:B11"/>
    <mergeCell ref="C11:F11"/>
    <mergeCell ref="A12:B12"/>
    <mergeCell ref="C12:F12"/>
    <mergeCell ref="A6:C6"/>
    <mergeCell ref="D6:F6"/>
    <mergeCell ref="G6:I6"/>
    <mergeCell ref="J6:L6"/>
    <mergeCell ref="A9:F9"/>
    <mergeCell ref="A1:L1"/>
    <mergeCell ref="A3:L3"/>
    <mergeCell ref="A5:C5"/>
    <mergeCell ref="D5:F5"/>
    <mergeCell ref="G5:I5"/>
    <mergeCell ref="J5:L5"/>
  </mergeCell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2A4A"/>
  </sheetPr>
  <dimension ref="A1:H25"/>
  <sheetViews>
    <sheetView showGridLines="0" zoomScale="95" zoomScaleNormal="95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22" customWidth="1"/>
    <col min="3" max="3" width="8" customWidth="1"/>
    <col min="4" max="4" width="10" customWidth="1"/>
    <col min="5" max="5" width="22" customWidth="1"/>
    <col min="6" max="6" width="24" customWidth="1"/>
    <col min="7" max="7" width="14" customWidth="1"/>
    <col min="8" max="8" width="20" customWidth="1"/>
  </cols>
  <sheetData>
    <row r="1" spans="1:8" ht="36" customHeight="1" x14ac:dyDescent="0.25">
      <c r="A1" s="3" t="s">
        <v>65</v>
      </c>
      <c r="B1" s="3"/>
      <c r="C1" s="3"/>
      <c r="D1" s="3"/>
      <c r="E1" s="3"/>
      <c r="F1" s="3"/>
      <c r="G1" s="3"/>
      <c r="H1" s="3"/>
    </row>
    <row r="2" spans="1:8" ht="4.5" customHeight="1" x14ac:dyDescent="0.25">
      <c r="A2" s="14"/>
      <c r="B2" s="14"/>
      <c r="C2" s="14"/>
      <c r="D2" s="14"/>
      <c r="E2" s="14"/>
      <c r="F2" s="14"/>
      <c r="G2" s="14"/>
      <c r="H2" s="14"/>
    </row>
    <row r="3" spans="1:8" ht="18" customHeight="1" x14ac:dyDescent="0.25">
      <c r="A3" s="2" t="s">
        <v>66</v>
      </c>
      <c r="B3" s="2"/>
      <c r="C3" s="2"/>
      <c r="D3" s="2"/>
      <c r="E3" s="2"/>
      <c r="F3" s="2"/>
      <c r="G3" s="2"/>
      <c r="H3" s="2"/>
    </row>
    <row r="4" spans="1:8" ht="27.75" customHeight="1" x14ac:dyDescent="0.25">
      <c r="A4" s="19" t="s">
        <v>67</v>
      </c>
      <c r="B4" s="19" t="s">
        <v>68</v>
      </c>
      <c r="C4" s="19" t="s">
        <v>69</v>
      </c>
      <c r="D4" s="19" t="s">
        <v>70</v>
      </c>
      <c r="E4" s="19" t="s">
        <v>71</v>
      </c>
      <c r="F4" s="19" t="s">
        <v>72</v>
      </c>
      <c r="G4" s="19" t="s">
        <v>73</v>
      </c>
      <c r="H4" s="19" t="s">
        <v>74</v>
      </c>
    </row>
    <row r="5" spans="1:8" ht="19.5" customHeight="1" x14ac:dyDescent="0.25">
      <c r="A5" s="20" t="s">
        <v>75</v>
      </c>
      <c r="B5" s="21" t="s">
        <v>76</v>
      </c>
      <c r="C5" s="22" t="s">
        <v>77</v>
      </c>
      <c r="D5" s="22">
        <v>1</v>
      </c>
      <c r="E5" s="21" t="s">
        <v>78</v>
      </c>
      <c r="F5" s="21" t="s">
        <v>79</v>
      </c>
      <c r="G5" s="21" t="s">
        <v>80</v>
      </c>
      <c r="H5" s="21"/>
    </row>
    <row r="6" spans="1:8" ht="19.5" customHeight="1" x14ac:dyDescent="0.25">
      <c r="A6" s="20" t="s">
        <v>81</v>
      </c>
      <c r="B6" s="21" t="s">
        <v>82</v>
      </c>
      <c r="C6" s="22" t="s">
        <v>77</v>
      </c>
      <c r="D6" s="22">
        <v>2</v>
      </c>
      <c r="E6" s="21" t="s">
        <v>83</v>
      </c>
      <c r="F6" s="21" t="s">
        <v>84</v>
      </c>
      <c r="G6" s="21" t="s">
        <v>85</v>
      </c>
      <c r="H6" s="21"/>
    </row>
    <row r="7" spans="1:8" ht="19.5" customHeight="1" x14ac:dyDescent="0.25">
      <c r="A7" s="20" t="s">
        <v>86</v>
      </c>
      <c r="B7" s="21" t="s">
        <v>87</v>
      </c>
      <c r="C7" s="22" t="s">
        <v>77</v>
      </c>
      <c r="D7" s="22">
        <v>3</v>
      </c>
      <c r="E7" s="21" t="s">
        <v>88</v>
      </c>
      <c r="F7" s="21" t="s">
        <v>89</v>
      </c>
      <c r="G7" s="21" t="s">
        <v>90</v>
      </c>
      <c r="H7" s="21"/>
    </row>
    <row r="8" spans="1:8" ht="19.5" customHeight="1" x14ac:dyDescent="0.25">
      <c r="A8" s="20" t="s">
        <v>91</v>
      </c>
      <c r="B8" s="21" t="s">
        <v>92</v>
      </c>
      <c r="C8" s="22" t="s">
        <v>77</v>
      </c>
      <c r="D8" s="22">
        <v>4</v>
      </c>
      <c r="E8" s="21" t="s">
        <v>93</v>
      </c>
      <c r="F8" s="21" t="s">
        <v>94</v>
      </c>
      <c r="G8" s="21" t="s">
        <v>95</v>
      </c>
      <c r="H8" s="21"/>
    </row>
    <row r="9" spans="1:8" ht="19.5" customHeight="1" x14ac:dyDescent="0.25">
      <c r="A9" s="20" t="s">
        <v>96</v>
      </c>
      <c r="B9" s="21" t="s">
        <v>97</v>
      </c>
      <c r="C9" s="22" t="s">
        <v>98</v>
      </c>
      <c r="D9" s="22">
        <v>1</v>
      </c>
      <c r="E9" s="21" t="s">
        <v>99</v>
      </c>
      <c r="F9" s="21" t="s">
        <v>100</v>
      </c>
      <c r="G9" s="21" t="s">
        <v>101</v>
      </c>
      <c r="H9" s="21"/>
    </row>
    <row r="10" spans="1:8" ht="19.5" customHeight="1" x14ac:dyDescent="0.25">
      <c r="A10" s="20" t="s">
        <v>102</v>
      </c>
      <c r="B10" s="21" t="s">
        <v>103</v>
      </c>
      <c r="C10" s="22" t="s">
        <v>98</v>
      </c>
      <c r="D10" s="22">
        <v>2</v>
      </c>
      <c r="E10" s="21" t="s">
        <v>104</v>
      </c>
      <c r="F10" s="21" t="s">
        <v>105</v>
      </c>
      <c r="G10" s="21" t="s">
        <v>106</v>
      </c>
      <c r="H10" s="21"/>
    </row>
    <row r="11" spans="1:8" ht="19.5" customHeight="1" x14ac:dyDescent="0.25">
      <c r="A11" s="20" t="s">
        <v>107</v>
      </c>
      <c r="B11" s="21" t="s">
        <v>108</v>
      </c>
      <c r="C11" s="22" t="s">
        <v>98</v>
      </c>
      <c r="D11" s="22">
        <v>3</v>
      </c>
      <c r="E11" s="21" t="s">
        <v>109</v>
      </c>
      <c r="F11" s="21" t="s">
        <v>110</v>
      </c>
      <c r="G11" s="21" t="s">
        <v>111</v>
      </c>
      <c r="H11" s="21"/>
    </row>
    <row r="12" spans="1:8" ht="19.5" customHeight="1" x14ac:dyDescent="0.25">
      <c r="A12" s="20" t="s">
        <v>112</v>
      </c>
      <c r="B12" s="21" t="s">
        <v>113</v>
      </c>
      <c r="C12" s="22" t="s">
        <v>98</v>
      </c>
      <c r="D12" s="22">
        <v>4</v>
      </c>
      <c r="E12" s="21" t="s">
        <v>114</v>
      </c>
      <c r="F12" s="21" t="s">
        <v>115</v>
      </c>
      <c r="G12" s="21" t="s">
        <v>116</v>
      </c>
      <c r="H12" s="21"/>
    </row>
    <row r="13" spans="1:8" ht="19.5" customHeight="1" x14ac:dyDescent="0.25">
      <c r="A13" s="20" t="s">
        <v>117</v>
      </c>
      <c r="B13" s="21" t="s">
        <v>118</v>
      </c>
      <c r="C13" s="22" t="s">
        <v>119</v>
      </c>
      <c r="D13" s="22">
        <v>1</v>
      </c>
      <c r="E13" s="21" t="s">
        <v>120</v>
      </c>
      <c r="F13" s="21" t="s">
        <v>121</v>
      </c>
      <c r="G13" s="21" t="s">
        <v>122</v>
      </c>
      <c r="H13" s="21"/>
    </row>
    <row r="14" spans="1:8" ht="19.5" customHeight="1" x14ac:dyDescent="0.25">
      <c r="A14" s="20" t="s">
        <v>123</v>
      </c>
      <c r="B14" s="21" t="s">
        <v>124</v>
      </c>
      <c r="C14" s="22" t="s">
        <v>119</v>
      </c>
      <c r="D14" s="22">
        <v>2</v>
      </c>
      <c r="E14" s="21" t="s">
        <v>125</v>
      </c>
      <c r="F14" s="21" t="s">
        <v>126</v>
      </c>
      <c r="G14" s="21" t="s">
        <v>127</v>
      </c>
      <c r="H14" s="21"/>
    </row>
    <row r="15" spans="1:8" ht="19.5" customHeight="1" x14ac:dyDescent="0.25">
      <c r="A15" s="20" t="s">
        <v>128</v>
      </c>
      <c r="B15" s="21" t="s">
        <v>129</v>
      </c>
      <c r="C15" s="22" t="s">
        <v>119</v>
      </c>
      <c r="D15" s="22">
        <v>3</v>
      </c>
      <c r="E15" s="21" t="s">
        <v>130</v>
      </c>
      <c r="F15" s="21" t="s">
        <v>131</v>
      </c>
      <c r="G15" s="21" t="s">
        <v>132</v>
      </c>
      <c r="H15" s="21"/>
    </row>
    <row r="16" spans="1:8" ht="19.5" customHeight="1" x14ac:dyDescent="0.25">
      <c r="A16" s="20" t="s">
        <v>133</v>
      </c>
      <c r="B16" s="21" t="s">
        <v>134</v>
      </c>
      <c r="C16" s="22" t="s">
        <v>119</v>
      </c>
      <c r="D16" s="22">
        <v>4</v>
      </c>
      <c r="E16" s="21" t="s">
        <v>135</v>
      </c>
      <c r="F16" s="21" t="s">
        <v>136</v>
      </c>
      <c r="G16" s="21" t="s">
        <v>137</v>
      </c>
      <c r="H16" s="21"/>
    </row>
    <row r="17" spans="1:8" ht="19.5" customHeight="1" x14ac:dyDescent="0.25">
      <c r="A17" s="20" t="s">
        <v>138</v>
      </c>
      <c r="B17" s="21" t="s">
        <v>139</v>
      </c>
      <c r="C17" s="22" t="s">
        <v>140</v>
      </c>
      <c r="D17" s="22">
        <v>1</v>
      </c>
      <c r="E17" s="21" t="s">
        <v>141</v>
      </c>
      <c r="F17" s="21" t="s">
        <v>142</v>
      </c>
      <c r="G17" s="21" t="s">
        <v>143</v>
      </c>
      <c r="H17" s="21"/>
    </row>
    <row r="18" spans="1:8" ht="19.5" customHeight="1" x14ac:dyDescent="0.25">
      <c r="A18" s="20" t="s">
        <v>144</v>
      </c>
      <c r="B18" s="21" t="s">
        <v>145</v>
      </c>
      <c r="C18" s="22" t="s">
        <v>140</v>
      </c>
      <c r="D18" s="22">
        <v>2</v>
      </c>
      <c r="E18" s="21" t="s">
        <v>146</v>
      </c>
      <c r="F18" s="21" t="s">
        <v>147</v>
      </c>
      <c r="G18" s="21" t="s">
        <v>148</v>
      </c>
      <c r="H18" s="21"/>
    </row>
    <row r="19" spans="1:8" ht="19.5" customHeight="1" x14ac:dyDescent="0.25">
      <c r="A19" s="20" t="s">
        <v>149</v>
      </c>
      <c r="B19" s="21" t="s">
        <v>150</v>
      </c>
      <c r="C19" s="22" t="s">
        <v>140</v>
      </c>
      <c r="D19" s="22">
        <v>3</v>
      </c>
      <c r="E19" s="21" t="s">
        <v>151</v>
      </c>
      <c r="F19" s="21" t="s">
        <v>152</v>
      </c>
      <c r="G19" s="21" t="s">
        <v>153</v>
      </c>
      <c r="H19" s="21"/>
    </row>
    <row r="20" spans="1:8" ht="19.5" customHeight="1" x14ac:dyDescent="0.25">
      <c r="A20" s="20" t="s">
        <v>154</v>
      </c>
      <c r="B20" s="21" t="s">
        <v>155</v>
      </c>
      <c r="C20" s="22" t="s">
        <v>140</v>
      </c>
      <c r="D20" s="22">
        <v>4</v>
      </c>
      <c r="E20" s="21" t="s">
        <v>156</v>
      </c>
      <c r="F20" s="21" t="s">
        <v>157</v>
      </c>
      <c r="G20" s="21" t="s">
        <v>158</v>
      </c>
      <c r="H20" s="21"/>
    </row>
    <row r="22" spans="1:8" ht="7.5" customHeight="1" x14ac:dyDescent="0.25"/>
    <row r="23" spans="1:8" ht="19.5" customHeight="1" x14ac:dyDescent="0.25">
      <c r="A23" s="1" t="s">
        <v>159</v>
      </c>
      <c r="B23" s="1"/>
      <c r="C23" s="1"/>
      <c r="D23" s="1"/>
      <c r="E23" s="1"/>
      <c r="F23" s="1"/>
      <c r="G23" s="1"/>
      <c r="H23" s="1"/>
    </row>
    <row r="24" spans="1:8" ht="18" customHeight="1" x14ac:dyDescent="0.25">
      <c r="A24" s="55" t="s">
        <v>160</v>
      </c>
      <c r="B24" s="55"/>
      <c r="C24" s="55"/>
      <c r="D24" s="55"/>
      <c r="E24" s="55"/>
      <c r="F24" s="55"/>
      <c r="G24" s="55"/>
      <c r="H24" s="55"/>
    </row>
    <row r="25" spans="1:8" ht="18" customHeight="1" x14ac:dyDescent="0.25">
      <c r="A25" s="55" t="s">
        <v>161</v>
      </c>
      <c r="B25" s="55"/>
      <c r="C25" s="55"/>
      <c r="D25" s="55"/>
      <c r="E25" s="55"/>
      <c r="F25" s="55"/>
      <c r="G25" s="55"/>
      <c r="H25" s="55"/>
    </row>
  </sheetData>
  <mergeCells count="5">
    <mergeCell ref="A1:H1"/>
    <mergeCell ref="A3:H3"/>
    <mergeCell ref="A23:H23"/>
    <mergeCell ref="A24:H24"/>
    <mergeCell ref="A25:H25"/>
  </mergeCells>
  <pageMargins left="0.75" right="0.75" top="1" bottom="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8973A"/>
  </sheetPr>
  <dimension ref="A1:N35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18" customWidth="1"/>
    <col min="3" max="3" width="10" customWidth="1"/>
    <col min="4" max="4" width="11" customWidth="1"/>
    <col min="5" max="5" width="9" customWidth="1"/>
    <col min="6" max="6" width="7" customWidth="1"/>
    <col min="7" max="8" width="20" customWidth="1"/>
    <col min="9" max="12" width="8" customWidth="1"/>
    <col min="13" max="13" width="20" customWidth="1"/>
    <col min="14" max="14" width="12" customWidth="1"/>
  </cols>
  <sheetData>
    <row r="1" spans="1:14" ht="36" customHeight="1" x14ac:dyDescent="0.25">
      <c r="A1" s="3" t="s">
        <v>162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4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8" customHeight="1" x14ac:dyDescent="0.25">
      <c r="A3" s="2" t="s">
        <v>163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 x14ac:dyDescent="0.25">
      <c r="A4" s="19" t="s">
        <v>164</v>
      </c>
      <c r="B4" s="19" t="s">
        <v>165</v>
      </c>
      <c r="C4" s="19" t="s">
        <v>166</v>
      </c>
      <c r="D4" s="19" t="s">
        <v>167</v>
      </c>
      <c r="E4" s="19" t="s">
        <v>29</v>
      </c>
      <c r="F4" s="19" t="s">
        <v>168</v>
      </c>
      <c r="G4" s="19" t="s">
        <v>169</v>
      </c>
      <c r="H4" s="19" t="s">
        <v>170</v>
      </c>
      <c r="I4" s="19" t="s">
        <v>171</v>
      </c>
      <c r="J4" s="19" t="s">
        <v>172</v>
      </c>
      <c r="K4" s="19" t="s">
        <v>173</v>
      </c>
      <c r="L4" s="19" t="s">
        <v>174</v>
      </c>
      <c r="M4" s="19" t="s">
        <v>175</v>
      </c>
      <c r="N4" s="19" t="s">
        <v>176</v>
      </c>
    </row>
    <row r="5" spans="1:14" ht="19.5" customHeight="1" x14ac:dyDescent="0.25">
      <c r="A5" s="23" t="s">
        <v>177</v>
      </c>
      <c r="B5" s="24" t="s">
        <v>178</v>
      </c>
      <c r="C5" s="25" t="s">
        <v>179</v>
      </c>
      <c r="D5" s="26" t="s">
        <v>180</v>
      </c>
      <c r="E5" s="26" t="s">
        <v>50</v>
      </c>
      <c r="F5" s="26">
        <v>1</v>
      </c>
      <c r="G5" s="27" t="s">
        <v>76</v>
      </c>
      <c r="H5" s="27" t="s">
        <v>82</v>
      </c>
      <c r="I5" s="28">
        <v>3</v>
      </c>
      <c r="J5" s="28">
        <v>1</v>
      </c>
      <c r="K5" s="29">
        <f t="shared" ref="K5:K28" si="0">IF(I5&gt;J5,3,IF(I5=J5,1,0))</f>
        <v>3</v>
      </c>
      <c r="L5" s="29">
        <f t="shared" ref="L5:L28" si="1">IF(J5&gt;I5,3,IF(J5=I5,1,0))</f>
        <v>0</v>
      </c>
      <c r="M5" s="16" t="str">
        <f t="shared" ref="M5:M28" si="2">IF(I5=J5,"Unentschieden",IF(I5&gt;J5,G5,H5))</f>
        <v>Blitzfalken Augsburg</v>
      </c>
      <c r="N5" s="30" t="str">
        <f t="shared" ref="N5:N28" si="3">IF(OR(I5="",J5=""),"Ausstehend","Abgeschlossen")</f>
        <v>Abgeschlossen</v>
      </c>
    </row>
    <row r="6" spans="1:14" ht="19.5" customHeight="1" x14ac:dyDescent="0.25">
      <c r="A6" s="23" t="s">
        <v>181</v>
      </c>
      <c r="B6" s="24" t="s">
        <v>178</v>
      </c>
      <c r="C6" s="25" t="s">
        <v>179</v>
      </c>
      <c r="D6" s="26" t="s">
        <v>180</v>
      </c>
      <c r="E6" s="26" t="s">
        <v>50</v>
      </c>
      <c r="F6" s="26">
        <v>2</v>
      </c>
      <c r="G6" s="27" t="s">
        <v>87</v>
      </c>
      <c r="H6" s="27" t="s">
        <v>92</v>
      </c>
      <c r="I6" s="28">
        <v>2</v>
      </c>
      <c r="J6" s="28">
        <v>2</v>
      </c>
      <c r="K6" s="29">
        <f t="shared" si="0"/>
        <v>1</v>
      </c>
      <c r="L6" s="29">
        <f t="shared" si="1"/>
        <v>1</v>
      </c>
      <c r="M6" s="16" t="str">
        <f t="shared" si="2"/>
        <v>Unentschieden</v>
      </c>
      <c r="N6" s="30" t="str">
        <f t="shared" si="3"/>
        <v>Abgeschlossen</v>
      </c>
    </row>
    <row r="7" spans="1:14" ht="19.5" customHeight="1" x14ac:dyDescent="0.25">
      <c r="A7" s="23" t="s">
        <v>182</v>
      </c>
      <c r="B7" s="24" t="s">
        <v>178</v>
      </c>
      <c r="C7" s="25" t="s">
        <v>183</v>
      </c>
      <c r="D7" s="26" t="s">
        <v>180</v>
      </c>
      <c r="E7" s="26" t="s">
        <v>53</v>
      </c>
      <c r="F7" s="26">
        <v>1</v>
      </c>
      <c r="G7" s="27" t="s">
        <v>76</v>
      </c>
      <c r="H7" s="27" t="s">
        <v>87</v>
      </c>
      <c r="I7" s="28">
        <v>1</v>
      </c>
      <c r="J7" s="28">
        <v>0</v>
      </c>
      <c r="K7" s="29">
        <f t="shared" si="0"/>
        <v>3</v>
      </c>
      <c r="L7" s="29">
        <f t="shared" si="1"/>
        <v>0</v>
      </c>
      <c r="M7" s="16" t="str">
        <f t="shared" si="2"/>
        <v>Blitzfalken Augsburg</v>
      </c>
      <c r="N7" s="30" t="str">
        <f t="shared" si="3"/>
        <v>Abgeschlossen</v>
      </c>
    </row>
    <row r="8" spans="1:14" ht="19.5" customHeight="1" x14ac:dyDescent="0.25">
      <c r="A8" s="23" t="s">
        <v>184</v>
      </c>
      <c r="B8" s="24" t="s">
        <v>178</v>
      </c>
      <c r="C8" s="25" t="s">
        <v>183</v>
      </c>
      <c r="D8" s="26" t="s">
        <v>180</v>
      </c>
      <c r="E8" s="26" t="s">
        <v>53</v>
      </c>
      <c r="F8" s="26">
        <v>2</v>
      </c>
      <c r="G8" s="27" t="s">
        <v>82</v>
      </c>
      <c r="H8" s="27" t="s">
        <v>92</v>
      </c>
      <c r="I8" s="28">
        <v>2</v>
      </c>
      <c r="J8" s="28">
        <v>1</v>
      </c>
      <c r="K8" s="29">
        <f t="shared" si="0"/>
        <v>3</v>
      </c>
      <c r="L8" s="29">
        <f t="shared" si="1"/>
        <v>0</v>
      </c>
      <c r="M8" s="16" t="str">
        <f t="shared" si="2"/>
        <v>Nordlicht United</v>
      </c>
      <c r="N8" s="30" t="str">
        <f t="shared" si="3"/>
        <v>Abgeschlossen</v>
      </c>
    </row>
    <row r="9" spans="1:14" ht="19.5" customHeight="1" x14ac:dyDescent="0.25">
      <c r="A9" s="23" t="s">
        <v>185</v>
      </c>
      <c r="B9" s="24" t="s">
        <v>178</v>
      </c>
      <c r="C9" s="25" t="s">
        <v>186</v>
      </c>
      <c r="D9" s="26" t="s">
        <v>180</v>
      </c>
      <c r="E9" s="26" t="s">
        <v>187</v>
      </c>
      <c r="F9" s="26">
        <v>1</v>
      </c>
      <c r="G9" s="27" t="s">
        <v>76</v>
      </c>
      <c r="H9" s="27" t="s">
        <v>92</v>
      </c>
      <c r="I9" s="28">
        <v>4</v>
      </c>
      <c r="J9" s="28">
        <v>2</v>
      </c>
      <c r="K9" s="29">
        <f t="shared" si="0"/>
        <v>3</v>
      </c>
      <c r="L9" s="29">
        <f t="shared" si="1"/>
        <v>0</v>
      </c>
      <c r="M9" s="16" t="str">
        <f t="shared" si="2"/>
        <v>Blitzfalken Augsburg</v>
      </c>
      <c r="N9" s="30" t="str">
        <f t="shared" si="3"/>
        <v>Abgeschlossen</v>
      </c>
    </row>
    <row r="10" spans="1:14" ht="19.5" customHeight="1" x14ac:dyDescent="0.25">
      <c r="A10" s="23" t="s">
        <v>188</v>
      </c>
      <c r="B10" s="24" t="s">
        <v>178</v>
      </c>
      <c r="C10" s="25" t="s">
        <v>186</v>
      </c>
      <c r="D10" s="26" t="s">
        <v>180</v>
      </c>
      <c r="E10" s="26" t="s">
        <v>187</v>
      </c>
      <c r="F10" s="26">
        <v>2</v>
      </c>
      <c r="G10" s="27" t="s">
        <v>82</v>
      </c>
      <c r="H10" s="27" t="s">
        <v>87</v>
      </c>
      <c r="I10" s="28">
        <v>0</v>
      </c>
      <c r="J10" s="28">
        <v>3</v>
      </c>
      <c r="K10" s="29">
        <f t="shared" si="0"/>
        <v>0</v>
      </c>
      <c r="L10" s="29">
        <f t="shared" si="1"/>
        <v>3</v>
      </c>
      <c r="M10" s="16" t="str">
        <f t="shared" si="2"/>
        <v>FC Silberwolf</v>
      </c>
      <c r="N10" s="30" t="str">
        <f t="shared" si="3"/>
        <v>Abgeschlossen</v>
      </c>
    </row>
    <row r="11" spans="1:14" ht="19.5" customHeight="1" x14ac:dyDescent="0.25">
      <c r="A11" s="23" t="s">
        <v>189</v>
      </c>
      <c r="B11" s="24" t="s">
        <v>190</v>
      </c>
      <c r="C11" s="25" t="s">
        <v>179</v>
      </c>
      <c r="D11" s="26" t="s">
        <v>180</v>
      </c>
      <c r="E11" s="26" t="s">
        <v>50</v>
      </c>
      <c r="F11" s="26">
        <v>3</v>
      </c>
      <c r="G11" s="27" t="s">
        <v>97</v>
      </c>
      <c r="H11" s="27" t="s">
        <v>103</v>
      </c>
      <c r="I11" s="28">
        <v>2</v>
      </c>
      <c r="J11" s="28">
        <v>0</v>
      </c>
      <c r="K11" s="29">
        <f t="shared" si="0"/>
        <v>3</v>
      </c>
      <c r="L11" s="29">
        <f t="shared" si="1"/>
        <v>0</v>
      </c>
      <c r="M11" s="16" t="str">
        <f t="shared" si="2"/>
        <v>Adlerhorst Kickers</v>
      </c>
      <c r="N11" s="30" t="str">
        <f t="shared" si="3"/>
        <v>Abgeschlossen</v>
      </c>
    </row>
    <row r="12" spans="1:14" ht="19.5" customHeight="1" x14ac:dyDescent="0.25">
      <c r="A12" s="23" t="s">
        <v>191</v>
      </c>
      <c r="B12" s="24" t="s">
        <v>190</v>
      </c>
      <c r="C12" s="25" t="s">
        <v>179</v>
      </c>
      <c r="D12" s="26" t="s">
        <v>180</v>
      </c>
      <c r="E12" s="26" t="s">
        <v>50</v>
      </c>
      <c r="F12" s="26">
        <v>4</v>
      </c>
      <c r="G12" s="27" t="s">
        <v>108</v>
      </c>
      <c r="H12" s="27" t="s">
        <v>113</v>
      </c>
      <c r="I12" s="28">
        <v>1</v>
      </c>
      <c r="J12" s="28">
        <v>1</v>
      </c>
      <c r="K12" s="29">
        <f t="shared" si="0"/>
        <v>1</v>
      </c>
      <c r="L12" s="29">
        <f t="shared" si="1"/>
        <v>1</v>
      </c>
      <c r="M12" s="16" t="str">
        <f t="shared" si="2"/>
        <v>Unentschieden</v>
      </c>
      <c r="N12" s="30" t="str">
        <f t="shared" si="3"/>
        <v>Abgeschlossen</v>
      </c>
    </row>
    <row r="13" spans="1:14" ht="19.5" customHeight="1" x14ac:dyDescent="0.25">
      <c r="A13" s="23" t="s">
        <v>192</v>
      </c>
      <c r="B13" s="24" t="s">
        <v>190</v>
      </c>
      <c r="C13" s="25" t="s">
        <v>183</v>
      </c>
      <c r="D13" s="26" t="s">
        <v>180</v>
      </c>
      <c r="E13" s="26" t="s">
        <v>53</v>
      </c>
      <c r="F13" s="26">
        <v>3</v>
      </c>
      <c r="G13" s="27" t="s">
        <v>97</v>
      </c>
      <c r="H13" s="27" t="s">
        <v>108</v>
      </c>
      <c r="I13" s="28">
        <v>3</v>
      </c>
      <c r="J13" s="28">
        <v>1</v>
      </c>
      <c r="K13" s="29">
        <f t="shared" si="0"/>
        <v>3</v>
      </c>
      <c r="L13" s="29">
        <f t="shared" si="1"/>
        <v>0</v>
      </c>
      <c r="M13" s="16" t="str">
        <f t="shared" si="2"/>
        <v>Adlerhorst Kickers</v>
      </c>
      <c r="N13" s="30" t="str">
        <f t="shared" si="3"/>
        <v>Abgeschlossen</v>
      </c>
    </row>
    <row r="14" spans="1:14" ht="19.5" customHeight="1" x14ac:dyDescent="0.25">
      <c r="A14" s="23" t="s">
        <v>193</v>
      </c>
      <c r="B14" s="24" t="s">
        <v>190</v>
      </c>
      <c r="C14" s="25" t="s">
        <v>183</v>
      </c>
      <c r="D14" s="26" t="s">
        <v>180</v>
      </c>
      <c r="E14" s="26" t="s">
        <v>53</v>
      </c>
      <c r="F14" s="26">
        <v>4</v>
      </c>
      <c r="G14" s="27" t="s">
        <v>103</v>
      </c>
      <c r="H14" s="27" t="s">
        <v>113</v>
      </c>
      <c r="I14" s="28">
        <v>0</v>
      </c>
      <c r="J14" s="28">
        <v>2</v>
      </c>
      <c r="K14" s="29">
        <f t="shared" si="0"/>
        <v>0</v>
      </c>
      <c r="L14" s="29">
        <f t="shared" si="1"/>
        <v>3</v>
      </c>
      <c r="M14" s="16" t="str">
        <f t="shared" si="2"/>
        <v>Donauwind FC</v>
      </c>
      <c r="N14" s="30" t="str">
        <f t="shared" si="3"/>
        <v>Abgeschlossen</v>
      </c>
    </row>
    <row r="15" spans="1:14" ht="19.5" customHeight="1" x14ac:dyDescent="0.25">
      <c r="A15" s="23" t="s">
        <v>194</v>
      </c>
      <c r="B15" s="24" t="s">
        <v>190</v>
      </c>
      <c r="C15" s="25" t="s">
        <v>186</v>
      </c>
      <c r="D15" s="26" t="s">
        <v>180</v>
      </c>
      <c r="E15" s="26" t="s">
        <v>187</v>
      </c>
      <c r="F15" s="26">
        <v>3</v>
      </c>
      <c r="G15" s="27" t="s">
        <v>97</v>
      </c>
      <c r="H15" s="27" t="s">
        <v>113</v>
      </c>
      <c r="I15" s="28">
        <v>2</v>
      </c>
      <c r="J15" s="28">
        <v>3</v>
      </c>
      <c r="K15" s="29">
        <f t="shared" si="0"/>
        <v>0</v>
      </c>
      <c r="L15" s="29">
        <f t="shared" si="1"/>
        <v>3</v>
      </c>
      <c r="M15" s="16" t="str">
        <f t="shared" si="2"/>
        <v>Donauwind FC</v>
      </c>
      <c r="N15" s="30" t="str">
        <f t="shared" si="3"/>
        <v>Abgeschlossen</v>
      </c>
    </row>
    <row r="16" spans="1:14" ht="19.5" customHeight="1" x14ac:dyDescent="0.25">
      <c r="A16" s="23" t="s">
        <v>195</v>
      </c>
      <c r="B16" s="24" t="s">
        <v>190</v>
      </c>
      <c r="C16" s="25" t="s">
        <v>186</v>
      </c>
      <c r="D16" s="26" t="s">
        <v>180</v>
      </c>
      <c r="E16" s="26" t="s">
        <v>187</v>
      </c>
      <c r="F16" s="26">
        <v>4</v>
      </c>
      <c r="G16" s="27" t="s">
        <v>103</v>
      </c>
      <c r="H16" s="27" t="s">
        <v>108</v>
      </c>
      <c r="I16" s="28">
        <v>1</v>
      </c>
      <c r="J16" s="28">
        <v>0</v>
      </c>
      <c r="K16" s="29">
        <f t="shared" si="0"/>
        <v>3</v>
      </c>
      <c r="L16" s="29">
        <f t="shared" si="1"/>
        <v>0</v>
      </c>
      <c r="M16" s="16" t="str">
        <f t="shared" si="2"/>
        <v>TSV Eisenbach</v>
      </c>
      <c r="N16" s="30" t="str">
        <f t="shared" si="3"/>
        <v>Abgeschlossen</v>
      </c>
    </row>
    <row r="17" spans="1:14" ht="19.5" customHeight="1" x14ac:dyDescent="0.25">
      <c r="A17" s="23" t="s">
        <v>196</v>
      </c>
      <c r="B17" s="24" t="s">
        <v>197</v>
      </c>
      <c r="C17" s="25" t="s">
        <v>179</v>
      </c>
      <c r="D17" s="26" t="s">
        <v>198</v>
      </c>
      <c r="E17" s="26" t="s">
        <v>50</v>
      </c>
      <c r="F17" s="26">
        <v>1</v>
      </c>
      <c r="G17" s="27" t="s">
        <v>118</v>
      </c>
      <c r="H17" s="27" t="s">
        <v>124</v>
      </c>
      <c r="I17" s="28">
        <v>1</v>
      </c>
      <c r="J17" s="28">
        <v>1</v>
      </c>
      <c r="K17" s="29">
        <f t="shared" si="0"/>
        <v>1</v>
      </c>
      <c r="L17" s="29">
        <f t="shared" si="1"/>
        <v>1</v>
      </c>
      <c r="M17" s="16" t="str">
        <f t="shared" si="2"/>
        <v>Unentschieden</v>
      </c>
      <c r="N17" s="30" t="str">
        <f t="shared" si="3"/>
        <v>Abgeschlossen</v>
      </c>
    </row>
    <row r="18" spans="1:14" ht="19.5" customHeight="1" x14ac:dyDescent="0.25">
      <c r="A18" s="23" t="s">
        <v>199</v>
      </c>
      <c r="B18" s="24" t="s">
        <v>197</v>
      </c>
      <c r="C18" s="25" t="s">
        <v>179</v>
      </c>
      <c r="D18" s="26" t="s">
        <v>198</v>
      </c>
      <c r="E18" s="26" t="s">
        <v>50</v>
      </c>
      <c r="F18" s="26">
        <v>2</v>
      </c>
      <c r="G18" s="27" t="s">
        <v>129</v>
      </c>
      <c r="H18" s="27" t="s">
        <v>134</v>
      </c>
      <c r="I18" s="28">
        <v>2</v>
      </c>
      <c r="J18" s="28">
        <v>0</v>
      </c>
      <c r="K18" s="29">
        <f t="shared" si="0"/>
        <v>3</v>
      </c>
      <c r="L18" s="29">
        <f t="shared" si="1"/>
        <v>0</v>
      </c>
      <c r="M18" s="16" t="str">
        <f t="shared" si="2"/>
        <v>Silberstern FC</v>
      </c>
      <c r="N18" s="30" t="str">
        <f t="shared" si="3"/>
        <v>Abgeschlossen</v>
      </c>
    </row>
    <row r="19" spans="1:14" ht="19.5" customHeight="1" x14ac:dyDescent="0.25">
      <c r="A19" s="23" t="s">
        <v>200</v>
      </c>
      <c r="B19" s="24" t="s">
        <v>197</v>
      </c>
      <c r="C19" s="25" t="s">
        <v>183</v>
      </c>
      <c r="D19" s="26" t="s">
        <v>198</v>
      </c>
      <c r="E19" s="26" t="s">
        <v>53</v>
      </c>
      <c r="F19" s="26">
        <v>1</v>
      </c>
      <c r="G19" s="27" t="s">
        <v>118</v>
      </c>
      <c r="H19" s="27" t="s">
        <v>129</v>
      </c>
      <c r="I19" s="28">
        <v>3</v>
      </c>
      <c r="J19" s="28">
        <v>2</v>
      </c>
      <c r="K19" s="29">
        <f t="shared" si="0"/>
        <v>3</v>
      </c>
      <c r="L19" s="29">
        <f t="shared" si="1"/>
        <v>0</v>
      </c>
      <c r="M19" s="16" t="str">
        <f t="shared" si="2"/>
        <v>Sturmkraft Hannover</v>
      </c>
      <c r="N19" s="30" t="str">
        <f t="shared" si="3"/>
        <v>Abgeschlossen</v>
      </c>
    </row>
    <row r="20" spans="1:14" ht="19.5" customHeight="1" x14ac:dyDescent="0.25">
      <c r="A20" s="23" t="s">
        <v>201</v>
      </c>
      <c r="B20" s="24" t="s">
        <v>197</v>
      </c>
      <c r="C20" s="25" t="s">
        <v>183</v>
      </c>
      <c r="D20" s="26" t="s">
        <v>198</v>
      </c>
      <c r="E20" s="26" t="s">
        <v>53</v>
      </c>
      <c r="F20" s="26">
        <v>2</v>
      </c>
      <c r="G20" s="27" t="s">
        <v>124</v>
      </c>
      <c r="H20" s="27" t="s">
        <v>134</v>
      </c>
      <c r="I20" s="28">
        <v>1</v>
      </c>
      <c r="J20" s="28">
        <v>3</v>
      </c>
      <c r="K20" s="29">
        <f t="shared" si="0"/>
        <v>0</v>
      </c>
      <c r="L20" s="29">
        <f t="shared" si="1"/>
        <v>3</v>
      </c>
      <c r="M20" s="16" t="str">
        <f t="shared" si="2"/>
        <v>Phönix Regensburg</v>
      </c>
      <c r="N20" s="30" t="str">
        <f t="shared" si="3"/>
        <v>Abgeschlossen</v>
      </c>
    </row>
    <row r="21" spans="1:14" ht="19.5" customHeight="1" x14ac:dyDescent="0.25">
      <c r="A21" s="23" t="s">
        <v>202</v>
      </c>
      <c r="B21" s="24" t="s">
        <v>197</v>
      </c>
      <c r="C21" s="25" t="s">
        <v>186</v>
      </c>
      <c r="D21" s="26" t="s">
        <v>198</v>
      </c>
      <c r="E21" s="26" t="s">
        <v>187</v>
      </c>
      <c r="F21" s="26">
        <v>1</v>
      </c>
      <c r="G21" s="27" t="s">
        <v>118</v>
      </c>
      <c r="H21" s="27" t="s">
        <v>134</v>
      </c>
      <c r="I21" s="28">
        <v>0</v>
      </c>
      <c r="J21" s="28">
        <v>1</v>
      </c>
      <c r="K21" s="29">
        <f t="shared" si="0"/>
        <v>0</v>
      </c>
      <c r="L21" s="29">
        <f t="shared" si="1"/>
        <v>3</v>
      </c>
      <c r="M21" s="16" t="str">
        <f t="shared" si="2"/>
        <v>Phönix Regensburg</v>
      </c>
      <c r="N21" s="30" t="str">
        <f t="shared" si="3"/>
        <v>Abgeschlossen</v>
      </c>
    </row>
    <row r="22" spans="1:14" ht="19.5" customHeight="1" x14ac:dyDescent="0.25">
      <c r="A22" s="23" t="s">
        <v>203</v>
      </c>
      <c r="B22" s="24" t="s">
        <v>197</v>
      </c>
      <c r="C22" s="25" t="s">
        <v>186</v>
      </c>
      <c r="D22" s="26" t="s">
        <v>198</v>
      </c>
      <c r="E22" s="26" t="s">
        <v>187</v>
      </c>
      <c r="F22" s="26">
        <v>2</v>
      </c>
      <c r="G22" s="27" t="s">
        <v>124</v>
      </c>
      <c r="H22" s="27" t="s">
        <v>129</v>
      </c>
      <c r="I22" s="28">
        <v>2</v>
      </c>
      <c r="J22" s="28">
        <v>1</v>
      </c>
      <c r="K22" s="29">
        <f t="shared" si="0"/>
        <v>3</v>
      </c>
      <c r="L22" s="29">
        <f t="shared" si="1"/>
        <v>0</v>
      </c>
      <c r="M22" s="16" t="str">
        <f t="shared" si="2"/>
        <v>Bergadler Freiburg</v>
      </c>
      <c r="N22" s="30" t="str">
        <f t="shared" si="3"/>
        <v>Abgeschlossen</v>
      </c>
    </row>
    <row r="23" spans="1:14" ht="19.5" customHeight="1" x14ac:dyDescent="0.25">
      <c r="A23" s="23" t="s">
        <v>204</v>
      </c>
      <c r="B23" s="24" t="s">
        <v>205</v>
      </c>
      <c r="C23" s="25" t="s">
        <v>179</v>
      </c>
      <c r="D23" s="26" t="s">
        <v>198</v>
      </c>
      <c r="E23" s="26" t="s">
        <v>50</v>
      </c>
      <c r="F23" s="26">
        <v>3</v>
      </c>
      <c r="G23" s="27" t="s">
        <v>139</v>
      </c>
      <c r="H23" s="27" t="s">
        <v>145</v>
      </c>
      <c r="I23" s="28">
        <v>2</v>
      </c>
      <c r="J23" s="28">
        <v>2</v>
      </c>
      <c r="K23" s="29">
        <f t="shared" si="0"/>
        <v>1</v>
      </c>
      <c r="L23" s="29">
        <f t="shared" si="1"/>
        <v>1</v>
      </c>
      <c r="M23" s="16" t="str">
        <f t="shared" si="2"/>
        <v>Unentschieden</v>
      </c>
      <c r="N23" s="30" t="str">
        <f t="shared" si="3"/>
        <v>Abgeschlossen</v>
      </c>
    </row>
    <row r="24" spans="1:14" ht="19.5" customHeight="1" x14ac:dyDescent="0.25">
      <c r="A24" s="23" t="s">
        <v>206</v>
      </c>
      <c r="B24" s="24" t="s">
        <v>205</v>
      </c>
      <c r="C24" s="25" t="s">
        <v>179</v>
      </c>
      <c r="D24" s="26" t="s">
        <v>198</v>
      </c>
      <c r="E24" s="26" t="s">
        <v>50</v>
      </c>
      <c r="F24" s="26">
        <v>4</v>
      </c>
      <c r="G24" s="27" t="s">
        <v>150</v>
      </c>
      <c r="H24" s="27" t="s">
        <v>155</v>
      </c>
      <c r="I24" s="28">
        <v>1</v>
      </c>
      <c r="J24" s="28">
        <v>0</v>
      </c>
      <c r="K24" s="29">
        <f t="shared" si="0"/>
        <v>3</v>
      </c>
      <c r="L24" s="29">
        <f t="shared" si="1"/>
        <v>0</v>
      </c>
      <c r="M24" s="16" t="str">
        <f t="shared" si="2"/>
        <v>Turnier SC Nord</v>
      </c>
      <c r="N24" s="30" t="str">
        <f t="shared" si="3"/>
        <v>Abgeschlossen</v>
      </c>
    </row>
    <row r="25" spans="1:14" ht="19.5" customHeight="1" x14ac:dyDescent="0.25">
      <c r="A25" s="23" t="s">
        <v>207</v>
      </c>
      <c r="B25" s="24" t="s">
        <v>205</v>
      </c>
      <c r="C25" s="25" t="s">
        <v>183</v>
      </c>
      <c r="D25" s="26" t="s">
        <v>198</v>
      </c>
      <c r="E25" s="26" t="s">
        <v>53</v>
      </c>
      <c r="F25" s="26">
        <v>3</v>
      </c>
      <c r="G25" s="27" t="s">
        <v>139</v>
      </c>
      <c r="H25" s="27" t="s">
        <v>150</v>
      </c>
      <c r="I25" s="28">
        <v>3</v>
      </c>
      <c r="J25" s="28">
        <v>1</v>
      </c>
      <c r="K25" s="29">
        <f t="shared" si="0"/>
        <v>3</v>
      </c>
      <c r="L25" s="29">
        <f t="shared" si="1"/>
        <v>0</v>
      </c>
      <c r="M25" s="16" t="str">
        <f t="shared" si="2"/>
        <v>Wiesenbären BSC</v>
      </c>
      <c r="N25" s="30" t="str">
        <f t="shared" si="3"/>
        <v>Abgeschlossen</v>
      </c>
    </row>
    <row r="26" spans="1:14" ht="19.5" customHeight="1" x14ac:dyDescent="0.25">
      <c r="A26" s="23" t="s">
        <v>208</v>
      </c>
      <c r="B26" s="24" t="s">
        <v>205</v>
      </c>
      <c r="C26" s="25" t="s">
        <v>183</v>
      </c>
      <c r="D26" s="26" t="s">
        <v>198</v>
      </c>
      <c r="E26" s="26" t="s">
        <v>53</v>
      </c>
      <c r="F26" s="26">
        <v>4</v>
      </c>
      <c r="G26" s="27" t="s">
        <v>145</v>
      </c>
      <c r="H26" s="27" t="s">
        <v>155</v>
      </c>
      <c r="I26" s="28">
        <v>2</v>
      </c>
      <c r="J26" s="28">
        <v>1</v>
      </c>
      <c r="K26" s="29">
        <f t="shared" si="0"/>
        <v>3</v>
      </c>
      <c r="L26" s="29">
        <f t="shared" si="1"/>
        <v>0</v>
      </c>
      <c r="M26" s="16" t="str">
        <f t="shared" si="2"/>
        <v>Hafenclub Hamburg</v>
      </c>
      <c r="N26" s="30" t="str">
        <f t="shared" si="3"/>
        <v>Abgeschlossen</v>
      </c>
    </row>
    <row r="27" spans="1:14" ht="19.5" customHeight="1" x14ac:dyDescent="0.25">
      <c r="A27" s="23" t="s">
        <v>209</v>
      </c>
      <c r="B27" s="24" t="s">
        <v>205</v>
      </c>
      <c r="C27" s="25" t="s">
        <v>186</v>
      </c>
      <c r="D27" s="26" t="s">
        <v>198</v>
      </c>
      <c r="E27" s="26" t="s">
        <v>187</v>
      </c>
      <c r="F27" s="26">
        <v>3</v>
      </c>
      <c r="G27" s="27" t="s">
        <v>139</v>
      </c>
      <c r="H27" s="27" t="s">
        <v>155</v>
      </c>
      <c r="I27" s="28">
        <v>1</v>
      </c>
      <c r="J27" s="28">
        <v>2</v>
      </c>
      <c r="K27" s="29">
        <f t="shared" si="0"/>
        <v>0</v>
      </c>
      <c r="L27" s="29">
        <f t="shared" si="1"/>
        <v>3</v>
      </c>
      <c r="M27" s="16" t="str">
        <f t="shared" si="2"/>
        <v>FC Münzberg</v>
      </c>
      <c r="N27" s="30" t="str">
        <f t="shared" si="3"/>
        <v>Abgeschlossen</v>
      </c>
    </row>
    <row r="28" spans="1:14" ht="19.5" customHeight="1" x14ac:dyDescent="0.25">
      <c r="A28" s="23" t="s">
        <v>210</v>
      </c>
      <c r="B28" s="24" t="s">
        <v>205</v>
      </c>
      <c r="C28" s="25" t="s">
        <v>186</v>
      </c>
      <c r="D28" s="26" t="s">
        <v>198</v>
      </c>
      <c r="E28" s="26" t="s">
        <v>187</v>
      </c>
      <c r="F28" s="26">
        <v>4</v>
      </c>
      <c r="G28" s="27" t="s">
        <v>145</v>
      </c>
      <c r="H28" s="27" t="s">
        <v>150</v>
      </c>
      <c r="I28" s="28">
        <v>0</v>
      </c>
      <c r="J28" s="28">
        <v>1</v>
      </c>
      <c r="K28" s="29">
        <f t="shared" si="0"/>
        <v>0</v>
      </c>
      <c r="L28" s="29">
        <f t="shared" si="1"/>
        <v>3</v>
      </c>
      <c r="M28" s="16" t="str">
        <f t="shared" si="2"/>
        <v>Turnier SC Nord</v>
      </c>
      <c r="N28" s="30" t="str">
        <f t="shared" si="3"/>
        <v>Abgeschlossen</v>
      </c>
    </row>
    <row r="29" spans="1:14" ht="19.5" customHeight="1" x14ac:dyDescent="0.25">
      <c r="A29" s="23" t="s">
        <v>211</v>
      </c>
      <c r="B29" s="31" t="s">
        <v>212</v>
      </c>
      <c r="C29" s="32" t="s">
        <v>213</v>
      </c>
      <c r="D29" s="33" t="s">
        <v>214</v>
      </c>
      <c r="E29" s="33" t="s">
        <v>50</v>
      </c>
      <c r="F29" s="33">
        <v>1</v>
      </c>
      <c r="G29" s="34" t="s">
        <v>215</v>
      </c>
      <c r="H29" s="34" t="s">
        <v>216</v>
      </c>
      <c r="I29" s="35"/>
      <c r="J29" s="35"/>
      <c r="K29" s="36" t="s">
        <v>37</v>
      </c>
      <c r="L29" s="36" t="s">
        <v>37</v>
      </c>
      <c r="M29" s="18" t="s">
        <v>217</v>
      </c>
      <c r="N29" s="30" t="s">
        <v>218</v>
      </c>
    </row>
    <row r="30" spans="1:14" ht="19.5" customHeight="1" x14ac:dyDescent="0.25">
      <c r="A30" s="23" t="s">
        <v>219</v>
      </c>
      <c r="B30" s="31" t="s">
        <v>212</v>
      </c>
      <c r="C30" s="32" t="s">
        <v>213</v>
      </c>
      <c r="D30" s="33" t="s">
        <v>214</v>
      </c>
      <c r="E30" s="33" t="s">
        <v>53</v>
      </c>
      <c r="F30" s="33">
        <v>2</v>
      </c>
      <c r="G30" s="34" t="s">
        <v>220</v>
      </c>
      <c r="H30" s="34" t="s">
        <v>221</v>
      </c>
      <c r="I30" s="35"/>
      <c r="J30" s="35"/>
      <c r="K30" s="36" t="s">
        <v>37</v>
      </c>
      <c r="L30" s="36" t="s">
        <v>37</v>
      </c>
      <c r="M30" s="18" t="s">
        <v>217</v>
      </c>
      <c r="N30" s="30" t="s">
        <v>218</v>
      </c>
    </row>
    <row r="31" spans="1:14" ht="19.5" customHeight="1" x14ac:dyDescent="0.25">
      <c r="A31" s="23" t="s">
        <v>222</v>
      </c>
      <c r="B31" s="31" t="s">
        <v>223</v>
      </c>
      <c r="C31" s="32" t="s">
        <v>213</v>
      </c>
      <c r="D31" s="33" t="s">
        <v>214</v>
      </c>
      <c r="E31" s="33" t="s">
        <v>57</v>
      </c>
      <c r="F31" s="33">
        <v>1</v>
      </c>
      <c r="G31" s="34" t="s">
        <v>224</v>
      </c>
      <c r="H31" s="34" t="s">
        <v>225</v>
      </c>
      <c r="I31" s="35"/>
      <c r="J31" s="35"/>
      <c r="K31" s="36" t="s">
        <v>37</v>
      </c>
      <c r="L31" s="36" t="s">
        <v>37</v>
      </c>
      <c r="M31" s="18" t="s">
        <v>217</v>
      </c>
      <c r="N31" s="30" t="s">
        <v>218</v>
      </c>
    </row>
    <row r="32" spans="1:14" ht="19.5" customHeight="1" x14ac:dyDescent="0.25">
      <c r="A32" s="23" t="s">
        <v>226</v>
      </c>
      <c r="B32" s="37" t="s">
        <v>227</v>
      </c>
      <c r="C32" s="38" t="s">
        <v>213</v>
      </c>
      <c r="D32" s="39" t="s">
        <v>214</v>
      </c>
      <c r="E32" s="39" t="s">
        <v>60</v>
      </c>
      <c r="F32" s="39">
        <v>1</v>
      </c>
      <c r="G32" s="40" t="s">
        <v>228</v>
      </c>
      <c r="H32" s="40" t="s">
        <v>229</v>
      </c>
      <c r="I32" s="35"/>
      <c r="J32" s="35"/>
      <c r="K32" s="36" t="s">
        <v>37</v>
      </c>
      <c r="L32" s="36" t="s">
        <v>37</v>
      </c>
      <c r="M32" s="18" t="s">
        <v>217</v>
      </c>
      <c r="N32" s="30" t="s">
        <v>218</v>
      </c>
    </row>
    <row r="34" spans="1:14" ht="7.5" customHeight="1" x14ac:dyDescent="0.25"/>
    <row r="35" spans="1:14" ht="19.5" customHeight="1" x14ac:dyDescent="0.25">
      <c r="A35" s="55" t="s">
        <v>230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3">
    <mergeCell ref="A1:N1"/>
    <mergeCell ref="A3:N3"/>
    <mergeCell ref="A35:N35"/>
  </mergeCells>
  <pageMargins left="0.75" right="0.75" top="1" bottom="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2A4A"/>
  </sheetPr>
  <dimension ref="A1:K33"/>
  <sheetViews>
    <sheetView showGridLines="0" zoomScaleNormal="100" workbookViewId="0"/>
  </sheetViews>
  <sheetFormatPr baseColWidth="10" defaultColWidth="8.7109375" defaultRowHeight="15" x14ac:dyDescent="0.25"/>
  <cols>
    <col min="1" max="1" width="5" customWidth="1"/>
    <col min="2" max="2" width="22" customWidth="1"/>
    <col min="3" max="3" width="7" customWidth="1"/>
    <col min="4" max="6" width="6" customWidth="1"/>
    <col min="7" max="8" width="8" customWidth="1"/>
    <col min="9" max="10" width="9" customWidth="1"/>
    <col min="11" max="11" width="12" customWidth="1"/>
  </cols>
  <sheetData>
    <row r="1" spans="1:11" ht="36" customHeight="1" x14ac:dyDescent="0.25">
      <c r="A1" s="3" t="s">
        <v>231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4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customHeight="1" x14ac:dyDescent="0.25">
      <c r="A3" s="2" t="s">
        <v>232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.75" customHeight="1" x14ac:dyDescent="0.25">
      <c r="A5" s="56" t="s">
        <v>233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24" customHeight="1" x14ac:dyDescent="0.25">
      <c r="A6" s="15" t="s">
        <v>234</v>
      </c>
      <c r="B6" s="15" t="s">
        <v>235</v>
      </c>
      <c r="C6" s="15" t="s">
        <v>236</v>
      </c>
      <c r="D6" s="15" t="s">
        <v>237</v>
      </c>
      <c r="E6" s="15" t="s">
        <v>238</v>
      </c>
      <c r="F6" s="15" t="s">
        <v>239</v>
      </c>
      <c r="G6" s="15" t="s">
        <v>240</v>
      </c>
      <c r="H6" s="15" t="s">
        <v>241</v>
      </c>
      <c r="I6" s="15" t="s">
        <v>242</v>
      </c>
      <c r="J6" s="15" t="s">
        <v>243</v>
      </c>
      <c r="K6" s="15" t="s">
        <v>244</v>
      </c>
    </row>
    <row r="7" spans="1:11" ht="19.5" customHeight="1" x14ac:dyDescent="0.25">
      <c r="A7" s="41">
        <v>1</v>
      </c>
      <c r="B7" s="42" t="s">
        <v>76</v>
      </c>
      <c r="C7" s="22">
        <f>SUMPRODUCT(((Spielplan!G5:G10="Blitzfalken Augsburg")+(Spielplan!H5:H10="Blitzfalken Augsburg"))*(Spielplan!I5:I10&lt;&gt;""))</f>
        <v>3</v>
      </c>
      <c r="D7" s="22">
        <f>SUMPRODUCT((Spielplan!G5:G10="Blitzfalken Augsburg")*(Spielplan!I5:I10&gt;Spielplan!J5:J10))+SUMPRODUCT((Spielplan!H5:H10="Blitzfalken Augsburg")*(Spielplan!J5:J10&gt;Spielplan!I5:I10))</f>
        <v>3</v>
      </c>
      <c r="E7" s="22">
        <f>SUMPRODUCT((Spielplan!G5:G10="Blitzfalken Augsburg")*(Spielplan!I5:I10=Spielplan!J5:J10)*(Spielplan!I5:I10&lt;&gt;""))+SUMPRODUCT((Spielplan!H5:H10="Blitzfalken Augsburg")*(Spielplan!J5:J10=Spielplan!I5:I10)*(Spielplan!J5:J10&lt;&gt;""))</f>
        <v>0</v>
      </c>
      <c r="F7" s="22">
        <f>SUMPRODUCT((Spielplan!G5:G10="Blitzfalken Augsburg")*(Spielplan!I5:I10&lt;Spielplan!J5:J10)*(Spielplan!I5:I10&lt;&gt;""))+SUMPRODUCT((Spielplan!H5:H10="Blitzfalken Augsburg")*(Spielplan!J5:J10&lt;Spielplan!I5:I10)*(Spielplan!J5:J10&lt;&gt;""))</f>
        <v>0</v>
      </c>
      <c r="G7" s="22">
        <f>SUMPRODUCT((Spielplan!G5:G10="Blitzfalken Augsburg")*IFERROR(Spielplan!I5:I10,0))+SUMPRODUCT((Spielplan!H5:H10="Blitzfalken Augsburg")*IFERROR(Spielplan!J5:J10,0))</f>
        <v>3</v>
      </c>
      <c r="H7" s="22">
        <f>SUMPRODUCT((Spielplan!G5:G10="Blitzfalken Augsburg")*IFERROR(Spielplan!J5:J10,0))+SUMPRODUCT((Spielplan!H5:H10="Blitzfalken Augsburg")*IFERROR(Spielplan!I5:I10,0))</f>
        <v>0</v>
      </c>
      <c r="I7" s="43">
        <f>G7-H7</f>
        <v>3</v>
      </c>
      <c r="J7" s="44">
        <f>D7*3+E7</f>
        <v>9</v>
      </c>
      <c r="K7" s="43" t="s">
        <v>245</v>
      </c>
    </row>
    <row r="8" spans="1:11" ht="19.5" customHeight="1" x14ac:dyDescent="0.25">
      <c r="A8" s="41">
        <v>2</v>
      </c>
      <c r="B8" s="42" t="s">
        <v>82</v>
      </c>
      <c r="C8" s="22">
        <f>SUMPRODUCT(((Spielplan!G5:G10="Nordlicht United")+(Spielplan!H5:H10="Nordlicht United"))*(Spielplan!I5:I10&lt;&gt;""))</f>
        <v>3</v>
      </c>
      <c r="D8" s="22">
        <f>SUMPRODUCT((Spielplan!G5:G10="Nordlicht United")*(Spielplan!I5:I10&gt;Spielplan!J5:J10))+SUMPRODUCT((Spielplan!H5:H10="Nordlicht United")*(Spielplan!J5:J10&gt;Spielplan!I5:I10))</f>
        <v>1</v>
      </c>
      <c r="E8" s="22">
        <f>SUMPRODUCT((Spielplan!G5:G10="Nordlicht United")*(Spielplan!I5:I10=Spielplan!J5:J10)*(Spielplan!I5:I10&lt;&gt;""))+SUMPRODUCT((Spielplan!H5:H10="Nordlicht United")*(Spielplan!J5:J10=Spielplan!I5:I10)*(Spielplan!J5:J10&lt;&gt;""))</f>
        <v>0</v>
      </c>
      <c r="F8" s="22">
        <f>SUMPRODUCT((Spielplan!G5:G10="Nordlicht United")*(Spielplan!I5:I10&lt;Spielplan!J5:J10)*(Spielplan!I5:I10&lt;&gt;""))+SUMPRODUCT((Spielplan!H5:H10="Nordlicht United")*(Spielplan!J5:J10&lt;Spielplan!I5:I10)*(Spielplan!J5:J10&lt;&gt;""))</f>
        <v>2</v>
      </c>
      <c r="G8" s="22">
        <f>SUMPRODUCT((Spielplan!G5:G10="Nordlicht United")*IFERROR(Spielplan!I5:I10,0))+SUMPRODUCT((Spielplan!H5:H10="Nordlicht United")*IFERROR(Spielplan!J5:J10,0))</f>
        <v>5</v>
      </c>
      <c r="H8" s="22">
        <f>SUMPRODUCT((Spielplan!G5:G10="Nordlicht United")*IFERROR(Spielplan!J5:J10,0))+SUMPRODUCT((Spielplan!H5:H10="Nordlicht United")*IFERROR(Spielplan!I5:I10,0))</f>
        <v>4</v>
      </c>
      <c r="I8" s="43">
        <f>G8-H8</f>
        <v>1</v>
      </c>
      <c r="J8" s="44">
        <f>D8*3+E8</f>
        <v>3</v>
      </c>
      <c r="K8" s="43" t="s">
        <v>245</v>
      </c>
    </row>
    <row r="9" spans="1:11" ht="19.5" customHeight="1" x14ac:dyDescent="0.25">
      <c r="A9" s="45">
        <v>3</v>
      </c>
      <c r="B9" s="46" t="s">
        <v>87</v>
      </c>
      <c r="C9" s="17">
        <f>SUMPRODUCT(((Spielplan!G5:G10="FC Silberwolf")+(Spielplan!H5:H10="FC Silberwolf"))*(Spielplan!I5:I10&lt;&gt;""))</f>
        <v>3</v>
      </c>
      <c r="D9" s="17">
        <f>SUMPRODUCT((Spielplan!G5:G10="FC Silberwolf")*(Spielplan!I5:I10&gt;Spielplan!J5:J10))+SUMPRODUCT((Spielplan!H5:H10="FC Silberwolf")*(Spielplan!J5:J10&gt;Spielplan!I5:I10))</f>
        <v>1</v>
      </c>
      <c r="E9" s="17">
        <f>SUMPRODUCT((Spielplan!G5:G10="FC Silberwolf")*(Spielplan!I5:I10=Spielplan!J5:J10)*(Spielplan!I5:I10&lt;&gt;""))+SUMPRODUCT((Spielplan!H5:H10="FC Silberwolf")*(Spielplan!J5:J10=Spielplan!I5:I10)*(Spielplan!J5:J10&lt;&gt;""))</f>
        <v>1</v>
      </c>
      <c r="F9" s="17">
        <f>SUMPRODUCT((Spielplan!G5:G10="FC Silberwolf")*(Spielplan!I5:I10&lt;Spielplan!J5:J10)*(Spielplan!I5:I10&lt;&gt;""))+SUMPRODUCT((Spielplan!H5:H10="FC Silberwolf")*(Spielplan!J5:J10&lt;Spielplan!I5:I10)*(Spielplan!J5:J10&lt;&gt;""))</f>
        <v>1</v>
      </c>
      <c r="G9" s="17">
        <f>SUMPRODUCT((Spielplan!G5:G10="FC Silberwolf")*IFERROR(Spielplan!I5:I10,0))+SUMPRODUCT((Spielplan!H5:H10="FC Silberwolf")*IFERROR(Spielplan!J5:J10,0))</f>
        <v>8</v>
      </c>
      <c r="H9" s="17">
        <f>SUMPRODUCT((Spielplan!G5:G10="FC Silberwolf")*IFERROR(Spielplan!J5:J10,0))+SUMPRODUCT((Spielplan!H5:H10="FC Silberwolf")*IFERROR(Spielplan!I5:I10,0))</f>
        <v>10</v>
      </c>
      <c r="I9" s="47">
        <f>G9-H9</f>
        <v>-2</v>
      </c>
      <c r="J9" s="48">
        <f>D9*3+E9</f>
        <v>4</v>
      </c>
      <c r="K9" s="49" t="s">
        <v>246</v>
      </c>
    </row>
    <row r="10" spans="1:11" ht="19.5" customHeight="1" x14ac:dyDescent="0.25">
      <c r="A10" s="35">
        <v>4</v>
      </c>
      <c r="B10" s="50" t="s">
        <v>92</v>
      </c>
      <c r="C10" s="16">
        <f>SUMPRODUCT(((Spielplan!G5:G10="Schwarzburg SC")+(Spielplan!H5:H10="Schwarzburg SC"))*(Spielplan!I5:I10&lt;&gt;""))</f>
        <v>3</v>
      </c>
      <c r="D10" s="16">
        <f>SUMPRODUCT((Spielplan!G5:G10="Schwarzburg SC")*(Spielplan!I5:I10&gt;Spielplan!J5:J10))+SUMPRODUCT((Spielplan!H5:H10="Schwarzburg SC")*(Spielplan!J5:J10&gt;Spielplan!I5:I10))</f>
        <v>0</v>
      </c>
      <c r="E10" s="16">
        <f>SUMPRODUCT((Spielplan!G5:G10="Schwarzburg SC")*(Spielplan!I5:I10=Spielplan!J5:J10)*(Spielplan!I5:I10&lt;&gt;""))+SUMPRODUCT((Spielplan!H5:H10="Schwarzburg SC")*(Spielplan!J5:J10=Spielplan!I5:I10)*(Spielplan!J5:J10&lt;&gt;""))</f>
        <v>1</v>
      </c>
      <c r="F10" s="16">
        <f>SUMPRODUCT((Spielplan!G5:G10="Schwarzburg SC")*(Spielplan!I5:I10&lt;Spielplan!J5:J10)*(Spielplan!I5:I10&lt;&gt;""))+SUMPRODUCT((Spielplan!H5:H10="Schwarzburg SC")*(Spielplan!J5:J10&lt;Spielplan!I5:I10)*(Spielplan!J5:J10&lt;&gt;""))</f>
        <v>2</v>
      </c>
      <c r="G10" s="16">
        <f>SUMPRODUCT((Spielplan!G5:G10="Schwarzburg SC")*IFERROR(Spielplan!I5:I10,0))+SUMPRODUCT((Spielplan!H5:H10="Schwarzburg SC")*IFERROR(Spielplan!J5:J10,0))</f>
        <v>9</v>
      </c>
      <c r="H10" s="16">
        <f>SUMPRODUCT((Spielplan!G5:G10="Schwarzburg SC")*IFERROR(Spielplan!J5:J10,0))+SUMPRODUCT((Spielplan!H5:H10="Schwarzburg SC")*IFERROR(Spielplan!I5:I10,0))</f>
        <v>0</v>
      </c>
      <c r="I10" s="36">
        <f>G10-H10</f>
        <v>9</v>
      </c>
      <c r="J10" s="48">
        <f>D10*3+E10</f>
        <v>1</v>
      </c>
      <c r="K10" s="51" t="s">
        <v>246</v>
      </c>
    </row>
    <row r="12" spans="1:11" ht="21.75" customHeight="1" x14ac:dyDescent="0.25">
      <c r="A12" s="56" t="s">
        <v>247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ht="24" customHeight="1" x14ac:dyDescent="0.25">
      <c r="A13" s="15" t="s">
        <v>234</v>
      </c>
      <c r="B13" s="15" t="s">
        <v>235</v>
      </c>
      <c r="C13" s="15" t="s">
        <v>236</v>
      </c>
      <c r="D13" s="15" t="s">
        <v>237</v>
      </c>
      <c r="E13" s="15" t="s">
        <v>238</v>
      </c>
      <c r="F13" s="15" t="s">
        <v>239</v>
      </c>
      <c r="G13" s="15" t="s">
        <v>240</v>
      </c>
      <c r="H13" s="15" t="s">
        <v>241</v>
      </c>
      <c r="I13" s="15" t="s">
        <v>242</v>
      </c>
      <c r="J13" s="15" t="s">
        <v>243</v>
      </c>
      <c r="K13" s="15" t="s">
        <v>244</v>
      </c>
    </row>
    <row r="14" spans="1:11" ht="19.5" customHeight="1" x14ac:dyDescent="0.25">
      <c r="A14" s="41">
        <v>1</v>
      </c>
      <c r="B14" s="42" t="s">
        <v>97</v>
      </c>
      <c r="C14" s="22">
        <f>SUMPRODUCT(((Spielplan!G11:G16="Adlerhorst Kickers")+(Spielplan!H11:H16="Adlerhorst Kickers"))*(Spielplan!I11:I16&lt;&gt;""))</f>
        <v>3</v>
      </c>
      <c r="D14" s="22">
        <f>SUMPRODUCT((Spielplan!G11:G16="Adlerhorst Kickers")*(Spielplan!I11:I16&gt;Spielplan!J11:J16))+SUMPRODUCT((Spielplan!H11:H16="Adlerhorst Kickers")*(Spielplan!J11:J16&gt;Spielplan!I11:I16))</f>
        <v>2</v>
      </c>
      <c r="E14" s="22">
        <f>SUMPRODUCT((Spielplan!G11:G16="Adlerhorst Kickers")*(Spielplan!I11:I16=Spielplan!J11:J16)*(Spielplan!I11:I16&lt;&gt;""))+SUMPRODUCT((Spielplan!H11:H16="Adlerhorst Kickers")*(Spielplan!J11:J16=Spielplan!I11:I16)*(Spielplan!J11:J16&lt;&gt;""))</f>
        <v>0</v>
      </c>
      <c r="F14" s="22">
        <f>SUMPRODUCT((Spielplan!G11:G16="Adlerhorst Kickers")*(Spielplan!I11:I16&lt;Spielplan!J11:J16)*(Spielplan!I11:I16&lt;&gt;""))+SUMPRODUCT((Spielplan!H11:H16="Adlerhorst Kickers")*(Spielplan!J11:J16&lt;Spielplan!I11:I16)*(Spielplan!J11:J16&lt;&gt;""))</f>
        <v>1</v>
      </c>
      <c r="G14" s="22">
        <f>SUMPRODUCT((Spielplan!G11:G16="Adlerhorst Kickers")*IFERROR(Spielplan!I11:I16,0))+SUMPRODUCT((Spielplan!H11:H16="Adlerhorst Kickers")*IFERROR(Spielplan!J11:J16,0))</f>
        <v>0</v>
      </c>
      <c r="H14" s="22">
        <f>SUMPRODUCT((Spielplan!G11:G16="Adlerhorst Kickers")*IFERROR(Spielplan!J11:J16,0))+SUMPRODUCT((Spielplan!H11:H16="Adlerhorst Kickers")*IFERROR(Spielplan!I11:I16,0))</f>
        <v>6</v>
      </c>
      <c r="I14" s="43">
        <f>G14-H14</f>
        <v>-6</v>
      </c>
      <c r="J14" s="44">
        <f>D14*3+E14</f>
        <v>6</v>
      </c>
      <c r="K14" s="43" t="s">
        <v>245</v>
      </c>
    </row>
    <row r="15" spans="1:11" ht="19.5" customHeight="1" x14ac:dyDescent="0.25">
      <c r="A15" s="41">
        <v>2</v>
      </c>
      <c r="B15" s="42" t="s">
        <v>103</v>
      </c>
      <c r="C15" s="22">
        <f>SUMPRODUCT(((Spielplan!G11:G16="TSV Eisenbach")+(Spielplan!H11:H16="TSV Eisenbach"))*(Spielplan!I11:I16&lt;&gt;""))</f>
        <v>3</v>
      </c>
      <c r="D15" s="22">
        <f>SUMPRODUCT((Spielplan!G11:G16="TSV Eisenbach")*(Spielplan!I11:I16&gt;Spielplan!J11:J16))+SUMPRODUCT((Spielplan!H11:H16="TSV Eisenbach")*(Spielplan!J11:J16&gt;Spielplan!I11:I16))</f>
        <v>1</v>
      </c>
      <c r="E15" s="22">
        <f>SUMPRODUCT((Spielplan!G11:G16="TSV Eisenbach")*(Spielplan!I11:I16=Spielplan!J11:J16)*(Spielplan!I11:I16&lt;&gt;""))+SUMPRODUCT((Spielplan!H11:H16="TSV Eisenbach")*(Spielplan!J11:J16=Spielplan!I11:I16)*(Spielplan!J11:J16&lt;&gt;""))</f>
        <v>0</v>
      </c>
      <c r="F15" s="22">
        <f>SUMPRODUCT((Spielplan!G11:G16="TSV Eisenbach")*(Spielplan!I11:I16&lt;Spielplan!J11:J16)*(Spielplan!I11:I16&lt;&gt;""))+SUMPRODUCT((Spielplan!H11:H16="TSV Eisenbach")*(Spielplan!J11:J16&lt;Spielplan!I11:I16)*(Spielplan!J11:J16&lt;&gt;""))</f>
        <v>2</v>
      </c>
      <c r="G15" s="22">
        <f>SUMPRODUCT((Spielplan!G11:G16="TSV Eisenbach")*IFERROR(Spielplan!I11:I16,0))+SUMPRODUCT((Spielplan!H11:H16="TSV Eisenbach")*IFERROR(Spielplan!J11:J16,0))</f>
        <v>7</v>
      </c>
      <c r="H15" s="22">
        <f>SUMPRODUCT((Spielplan!G11:G16="TSV Eisenbach")*IFERROR(Spielplan!J11:J16,0))+SUMPRODUCT((Spielplan!H11:H16="TSV Eisenbach")*IFERROR(Spielplan!I11:I16,0))</f>
        <v>8</v>
      </c>
      <c r="I15" s="43">
        <f>G15-H15</f>
        <v>-1</v>
      </c>
      <c r="J15" s="44">
        <f>D15*3+E15</f>
        <v>3</v>
      </c>
      <c r="K15" s="43" t="s">
        <v>245</v>
      </c>
    </row>
    <row r="16" spans="1:11" ht="19.5" customHeight="1" x14ac:dyDescent="0.25">
      <c r="A16" s="45">
        <v>3</v>
      </c>
      <c r="B16" s="46" t="s">
        <v>108</v>
      </c>
      <c r="C16" s="17">
        <f>SUMPRODUCT(((Spielplan!G11:G16="Rote Ritter Köln")+(Spielplan!H11:H16="Rote Ritter Köln"))*(Spielplan!I11:I16&lt;&gt;""))</f>
        <v>3</v>
      </c>
      <c r="D16" s="17">
        <f>SUMPRODUCT((Spielplan!G11:G16="Rote Ritter Köln")*(Spielplan!I11:I16&gt;Spielplan!J11:J16))+SUMPRODUCT((Spielplan!H11:H16="Rote Ritter Köln")*(Spielplan!J11:J16&gt;Spielplan!I11:I16))</f>
        <v>0</v>
      </c>
      <c r="E16" s="17">
        <f>SUMPRODUCT((Spielplan!G11:G16="Rote Ritter Köln")*(Spielplan!I11:I16=Spielplan!J11:J16)*(Spielplan!I11:I16&lt;&gt;""))+SUMPRODUCT((Spielplan!H11:H16="Rote Ritter Köln")*(Spielplan!J11:J16=Spielplan!I11:I16)*(Spielplan!J11:J16&lt;&gt;""))</f>
        <v>1</v>
      </c>
      <c r="F16" s="17">
        <f>SUMPRODUCT((Spielplan!G11:G16="Rote Ritter Köln")*(Spielplan!I11:I16&lt;Spielplan!J11:J16)*(Spielplan!I11:I16&lt;&gt;""))+SUMPRODUCT((Spielplan!H11:H16="Rote Ritter Köln")*(Spielplan!J11:J16&lt;Spielplan!I11:I16)*(Spielplan!J11:J16&lt;&gt;""))</f>
        <v>2</v>
      </c>
      <c r="G16" s="17">
        <f>SUMPRODUCT((Spielplan!G11:G16="Rote Ritter Köln")*IFERROR(Spielplan!I11:I16,0))+SUMPRODUCT((Spielplan!H11:H16="Rote Ritter Köln")*IFERROR(Spielplan!J11:J16,0))</f>
        <v>1</v>
      </c>
      <c r="H16" s="17">
        <f>SUMPRODUCT((Spielplan!G11:G16="Rote Ritter Köln")*IFERROR(Spielplan!J11:J16,0))+SUMPRODUCT((Spielplan!H11:H16="Rote Ritter Köln")*IFERROR(Spielplan!I11:I16,0))</f>
        <v>2</v>
      </c>
      <c r="I16" s="47">
        <f>G16-H16</f>
        <v>-1</v>
      </c>
      <c r="J16" s="48">
        <f>D16*3+E16</f>
        <v>1</v>
      </c>
      <c r="K16" s="49" t="s">
        <v>246</v>
      </c>
    </row>
    <row r="17" spans="1:11" ht="19.5" customHeight="1" x14ac:dyDescent="0.25">
      <c r="A17" s="35">
        <v>4</v>
      </c>
      <c r="B17" s="50" t="s">
        <v>113</v>
      </c>
      <c r="C17" s="16">
        <f>SUMPRODUCT(((Spielplan!G11:G16="Donauwind FC")+(Spielplan!H11:H16="Donauwind FC"))*(Spielplan!I11:I16&lt;&gt;""))</f>
        <v>3</v>
      </c>
      <c r="D17" s="16">
        <f>SUMPRODUCT((Spielplan!G11:G16="Donauwind FC")*(Spielplan!I11:I16&gt;Spielplan!J11:J16))+SUMPRODUCT((Spielplan!H11:H16="Donauwind FC")*(Spielplan!J11:J16&gt;Spielplan!I11:I16))</f>
        <v>2</v>
      </c>
      <c r="E17" s="16">
        <f>SUMPRODUCT((Spielplan!G11:G16="Donauwind FC")*(Spielplan!I11:I16=Spielplan!J11:J16)*(Spielplan!I11:I16&lt;&gt;""))+SUMPRODUCT((Spielplan!H11:H16="Donauwind FC")*(Spielplan!J11:J16=Spielplan!I11:I16)*(Spielplan!J11:J16&lt;&gt;""))</f>
        <v>1</v>
      </c>
      <c r="F17" s="16">
        <f>SUMPRODUCT((Spielplan!G11:G16="Donauwind FC")*(Spielplan!I11:I16&lt;Spielplan!J11:J16)*(Spielplan!I11:I16&lt;&gt;""))+SUMPRODUCT((Spielplan!H11:H16="Donauwind FC")*(Spielplan!J11:J16&lt;Spielplan!I11:I16)*(Spielplan!J11:J16&lt;&gt;""))</f>
        <v>0</v>
      </c>
      <c r="G17" s="16">
        <f>SUMPRODUCT((Spielplan!G11:G16="Donauwind FC")*IFERROR(Spielplan!I11:I16,0))+SUMPRODUCT((Spielplan!H11:H16="Donauwind FC")*IFERROR(Spielplan!J11:J16,0))</f>
        <v>0</v>
      </c>
      <c r="H17" s="16">
        <f>SUMPRODUCT((Spielplan!G11:G16="Donauwind FC")*IFERROR(Spielplan!J11:J16,0))+SUMPRODUCT((Spielplan!H11:H16="Donauwind FC")*IFERROR(Spielplan!I11:I16,0))</f>
        <v>0</v>
      </c>
      <c r="I17" s="36">
        <f>G17-H17</f>
        <v>0</v>
      </c>
      <c r="J17" s="48">
        <f>D17*3+E17</f>
        <v>7</v>
      </c>
      <c r="K17" s="51" t="s">
        <v>246</v>
      </c>
    </row>
    <row r="19" spans="1:11" ht="21.75" customHeight="1" x14ac:dyDescent="0.25">
      <c r="A19" s="56" t="s">
        <v>248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ht="24" customHeight="1" x14ac:dyDescent="0.25">
      <c r="A20" s="15" t="s">
        <v>234</v>
      </c>
      <c r="B20" s="15" t="s">
        <v>235</v>
      </c>
      <c r="C20" s="15" t="s">
        <v>236</v>
      </c>
      <c r="D20" s="15" t="s">
        <v>237</v>
      </c>
      <c r="E20" s="15" t="s">
        <v>238</v>
      </c>
      <c r="F20" s="15" t="s">
        <v>239</v>
      </c>
      <c r="G20" s="15" t="s">
        <v>240</v>
      </c>
      <c r="H20" s="15" t="s">
        <v>241</v>
      </c>
      <c r="I20" s="15" t="s">
        <v>242</v>
      </c>
      <c r="J20" s="15" t="s">
        <v>243</v>
      </c>
      <c r="K20" s="15" t="s">
        <v>244</v>
      </c>
    </row>
    <row r="21" spans="1:11" ht="19.5" customHeight="1" x14ac:dyDescent="0.25">
      <c r="A21" s="41">
        <v>1</v>
      </c>
      <c r="B21" s="42" t="s">
        <v>118</v>
      </c>
      <c r="C21" s="22">
        <f>SUMPRODUCT(((Spielplan!G17:G22="Sturmkraft Hannover")+(Spielplan!H17:H22="Sturmkraft Hannover"))*(Spielplan!I17:I22&lt;&gt;""))</f>
        <v>3</v>
      </c>
      <c r="D21" s="22">
        <f>SUMPRODUCT((Spielplan!G17:G22="Sturmkraft Hannover")*(Spielplan!I17:I22&gt;Spielplan!J17:J22))+SUMPRODUCT((Spielplan!H17:H22="Sturmkraft Hannover")*(Spielplan!J17:J22&gt;Spielplan!I17:I22))</f>
        <v>1</v>
      </c>
      <c r="E21" s="22">
        <f>SUMPRODUCT((Spielplan!G17:G22="Sturmkraft Hannover")*(Spielplan!I17:I22=Spielplan!J17:J22)*(Spielplan!I17:I22&lt;&gt;""))+SUMPRODUCT((Spielplan!H17:H22="Sturmkraft Hannover")*(Spielplan!J17:J22=Spielplan!I17:I22)*(Spielplan!J17:J22&lt;&gt;""))</f>
        <v>1</v>
      </c>
      <c r="F21" s="22">
        <f>SUMPRODUCT((Spielplan!G17:G22="Sturmkraft Hannover")*(Spielplan!I17:I22&lt;Spielplan!J17:J22)*(Spielplan!I17:I22&lt;&gt;""))+SUMPRODUCT((Spielplan!H17:H22="Sturmkraft Hannover")*(Spielplan!J17:J22&lt;Spielplan!I17:I22)*(Spielplan!J17:J22&lt;&gt;""))</f>
        <v>1</v>
      </c>
      <c r="G21" s="22">
        <f>SUMPRODUCT((Spielplan!G17:G22="Sturmkraft Hannover")*IFERROR(Spielplan!I17:I22,0))+SUMPRODUCT((Spielplan!H17:H22="Sturmkraft Hannover")*IFERROR(Spielplan!J17:J22,0))</f>
        <v>0</v>
      </c>
      <c r="H21" s="22">
        <f>SUMPRODUCT((Spielplan!G17:G22="Sturmkraft Hannover")*IFERROR(Spielplan!J17:J22,0))+SUMPRODUCT((Spielplan!H17:H22="Sturmkraft Hannover")*IFERROR(Spielplan!I17:I22,0))</f>
        <v>3</v>
      </c>
      <c r="I21" s="43">
        <f>G21-H21</f>
        <v>-3</v>
      </c>
      <c r="J21" s="44">
        <f>D21*3+E21</f>
        <v>4</v>
      </c>
      <c r="K21" s="43" t="s">
        <v>245</v>
      </c>
    </row>
    <row r="22" spans="1:11" ht="19.5" customHeight="1" x14ac:dyDescent="0.25">
      <c r="A22" s="41">
        <v>2</v>
      </c>
      <c r="B22" s="42" t="s">
        <v>124</v>
      </c>
      <c r="C22" s="22">
        <f>SUMPRODUCT(((Spielplan!G17:G22="Bergadler Freiburg")+(Spielplan!H17:H22="Bergadler Freiburg"))*(Spielplan!I17:I22&lt;&gt;""))</f>
        <v>3</v>
      </c>
      <c r="D22" s="22">
        <f>SUMPRODUCT((Spielplan!G17:G22="Bergadler Freiburg")*(Spielplan!I17:I22&gt;Spielplan!J17:J22))+SUMPRODUCT((Spielplan!H17:H22="Bergadler Freiburg")*(Spielplan!J17:J22&gt;Spielplan!I17:I22))</f>
        <v>1</v>
      </c>
      <c r="E22" s="22">
        <f>SUMPRODUCT((Spielplan!G17:G22="Bergadler Freiburg")*(Spielplan!I17:I22=Spielplan!J17:J22)*(Spielplan!I17:I22&lt;&gt;""))+SUMPRODUCT((Spielplan!H17:H22="Bergadler Freiburg")*(Spielplan!J17:J22=Spielplan!I17:I22)*(Spielplan!J17:J22&lt;&gt;""))</f>
        <v>1</v>
      </c>
      <c r="F22" s="22">
        <f>SUMPRODUCT((Spielplan!G17:G22="Bergadler Freiburg")*(Spielplan!I17:I22&lt;Spielplan!J17:J22)*(Spielplan!I17:I22&lt;&gt;""))+SUMPRODUCT((Spielplan!H17:H22="Bergadler Freiburg")*(Spielplan!J17:J22&lt;Spielplan!I17:I22)*(Spielplan!J17:J22&lt;&gt;""))</f>
        <v>1</v>
      </c>
      <c r="G22" s="22">
        <f>SUMPRODUCT((Spielplan!G17:G22="Bergadler Freiburg")*IFERROR(Spielplan!I17:I22,0))+SUMPRODUCT((Spielplan!H17:H22="Bergadler Freiburg")*IFERROR(Spielplan!J17:J22,0))</f>
        <v>5</v>
      </c>
      <c r="H22" s="22">
        <f>SUMPRODUCT((Spielplan!G17:G22="Bergadler Freiburg")*IFERROR(Spielplan!J17:J22,0))+SUMPRODUCT((Spielplan!H17:H22="Bergadler Freiburg")*IFERROR(Spielplan!I17:I22,0))</f>
        <v>4</v>
      </c>
      <c r="I22" s="43">
        <f>G22-H22</f>
        <v>1</v>
      </c>
      <c r="J22" s="44">
        <f>D22*3+E22</f>
        <v>4</v>
      </c>
      <c r="K22" s="43" t="s">
        <v>245</v>
      </c>
    </row>
    <row r="23" spans="1:11" ht="19.5" customHeight="1" x14ac:dyDescent="0.25">
      <c r="A23" s="45">
        <v>3</v>
      </c>
      <c r="B23" s="46" t="s">
        <v>129</v>
      </c>
      <c r="C23" s="17">
        <f>SUMPRODUCT(((Spielplan!G17:G22="Silberstern FC")+(Spielplan!H17:H22="Silberstern FC"))*(Spielplan!I17:I22&lt;&gt;""))</f>
        <v>3</v>
      </c>
      <c r="D23" s="17">
        <f>SUMPRODUCT((Spielplan!G17:G22="Silberstern FC")*(Spielplan!I17:I22&gt;Spielplan!J17:J22))+SUMPRODUCT((Spielplan!H17:H22="Silberstern FC")*(Spielplan!J17:J22&gt;Spielplan!I17:I22))</f>
        <v>1</v>
      </c>
      <c r="E23" s="17">
        <f>SUMPRODUCT((Spielplan!G17:G22="Silberstern FC")*(Spielplan!I17:I22=Spielplan!J17:J22)*(Spielplan!I17:I22&lt;&gt;""))+SUMPRODUCT((Spielplan!H17:H22="Silberstern FC")*(Spielplan!J17:J22=Spielplan!I17:I22)*(Spielplan!J17:J22&lt;&gt;""))</f>
        <v>0</v>
      </c>
      <c r="F23" s="17">
        <f>SUMPRODUCT((Spielplan!G17:G22="Silberstern FC")*(Spielplan!I17:I22&lt;Spielplan!J17:J22)*(Spielplan!I17:I22&lt;&gt;""))+SUMPRODUCT((Spielplan!H17:H22="Silberstern FC")*(Spielplan!J17:J22&lt;Spielplan!I17:I22)*(Spielplan!J17:J22&lt;&gt;""))</f>
        <v>2</v>
      </c>
      <c r="G23" s="17">
        <f>SUMPRODUCT((Spielplan!G17:G22="Silberstern FC")*IFERROR(Spielplan!I17:I22,0))+SUMPRODUCT((Spielplan!H17:H22="Silberstern FC")*IFERROR(Spielplan!J17:J22,0))</f>
        <v>0</v>
      </c>
      <c r="H23" s="17">
        <f>SUMPRODUCT((Spielplan!G17:G22="Silberstern FC")*IFERROR(Spielplan!J17:J22,0))+SUMPRODUCT((Spielplan!H17:H22="Silberstern FC")*IFERROR(Spielplan!I17:I22,0))</f>
        <v>0</v>
      </c>
      <c r="I23" s="47">
        <f>G23-H23</f>
        <v>0</v>
      </c>
      <c r="J23" s="48">
        <f>D23*3+E23</f>
        <v>3</v>
      </c>
      <c r="K23" s="49" t="s">
        <v>246</v>
      </c>
    </row>
    <row r="24" spans="1:11" ht="19.5" customHeight="1" x14ac:dyDescent="0.25">
      <c r="A24" s="35">
        <v>4</v>
      </c>
      <c r="B24" s="50" t="s">
        <v>134</v>
      </c>
      <c r="C24" s="16">
        <f>SUMPRODUCT(((Spielplan!G17:G22="Phönix Regensburg")+(Spielplan!H17:H22="Phönix Regensburg"))*(Spielplan!I17:I22&lt;&gt;""))</f>
        <v>3</v>
      </c>
      <c r="D24" s="16">
        <f>SUMPRODUCT((Spielplan!G17:G22="Phönix Regensburg")*(Spielplan!I17:I22&gt;Spielplan!J17:J22))+SUMPRODUCT((Spielplan!H17:H22="Phönix Regensburg")*(Spielplan!J17:J22&gt;Spielplan!I17:I22))</f>
        <v>2</v>
      </c>
      <c r="E24" s="16">
        <f>SUMPRODUCT((Spielplan!G17:G22="Phönix Regensburg")*(Spielplan!I17:I22=Spielplan!J17:J22)*(Spielplan!I17:I22&lt;&gt;""))+SUMPRODUCT((Spielplan!H17:H22="Phönix Regensburg")*(Spielplan!J17:J22=Spielplan!I17:I22)*(Spielplan!J17:J22&lt;&gt;""))</f>
        <v>0</v>
      </c>
      <c r="F24" s="16">
        <f>SUMPRODUCT((Spielplan!G17:G22="Phönix Regensburg")*(Spielplan!I17:I22&lt;Spielplan!J17:J22)*(Spielplan!I17:I22&lt;&gt;""))+SUMPRODUCT((Spielplan!H17:H22="Phönix Regensburg")*(Spielplan!J17:J22&lt;Spielplan!I17:I22)*(Spielplan!J17:J22&lt;&gt;""))</f>
        <v>1</v>
      </c>
      <c r="G24" s="16">
        <f>SUMPRODUCT((Spielplan!G17:G22="Phönix Regensburg")*IFERROR(Spielplan!I17:I22,0))+SUMPRODUCT((Spielplan!H17:H22="Phönix Regensburg")*IFERROR(Spielplan!J17:J22,0))</f>
        <v>0</v>
      </c>
      <c r="H24" s="16">
        <f>SUMPRODUCT((Spielplan!G17:G22="Phönix Regensburg")*IFERROR(Spielplan!J17:J22,0))+SUMPRODUCT((Spielplan!H17:H22="Phönix Regensburg")*IFERROR(Spielplan!I17:I22,0))</f>
        <v>0</v>
      </c>
      <c r="I24" s="36">
        <f>G24-H24</f>
        <v>0</v>
      </c>
      <c r="J24" s="48">
        <f>D24*3+E24</f>
        <v>6</v>
      </c>
      <c r="K24" s="51" t="s">
        <v>246</v>
      </c>
    </row>
    <row r="26" spans="1:11" ht="21.75" customHeight="1" x14ac:dyDescent="0.25">
      <c r="A26" s="56" t="s">
        <v>249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</row>
    <row r="27" spans="1:11" ht="24" customHeight="1" x14ac:dyDescent="0.25">
      <c r="A27" s="15" t="s">
        <v>234</v>
      </c>
      <c r="B27" s="15" t="s">
        <v>235</v>
      </c>
      <c r="C27" s="15" t="s">
        <v>236</v>
      </c>
      <c r="D27" s="15" t="s">
        <v>237</v>
      </c>
      <c r="E27" s="15" t="s">
        <v>238</v>
      </c>
      <c r="F27" s="15" t="s">
        <v>239</v>
      </c>
      <c r="G27" s="15" t="s">
        <v>240</v>
      </c>
      <c r="H27" s="15" t="s">
        <v>241</v>
      </c>
      <c r="I27" s="15" t="s">
        <v>242</v>
      </c>
      <c r="J27" s="15" t="s">
        <v>243</v>
      </c>
      <c r="K27" s="15" t="s">
        <v>244</v>
      </c>
    </row>
    <row r="28" spans="1:11" ht="19.5" customHeight="1" x14ac:dyDescent="0.25">
      <c r="A28" s="41">
        <v>1</v>
      </c>
      <c r="B28" s="42" t="s">
        <v>139</v>
      </c>
      <c r="C28" s="22">
        <f>SUMPRODUCT(((Spielplan!G23:G28="Wiesenbären BSC")+(Spielplan!H23:H28="Wiesenbären BSC"))*(Spielplan!I23:I28&lt;&gt;""))</f>
        <v>3</v>
      </c>
      <c r="D28" s="22">
        <f>SUMPRODUCT((Spielplan!G23:G28="Wiesenbären BSC")*(Spielplan!I23:I28&gt;Spielplan!J23:J28))+SUMPRODUCT((Spielplan!H23:H28="Wiesenbären BSC")*(Spielplan!J23:J28&gt;Spielplan!I23:I28))</f>
        <v>1</v>
      </c>
      <c r="E28" s="22">
        <f>SUMPRODUCT((Spielplan!G23:G28="Wiesenbären BSC")*(Spielplan!I23:I28=Spielplan!J23:J28)*(Spielplan!I23:I28&lt;&gt;""))+SUMPRODUCT((Spielplan!H23:H28="Wiesenbären BSC")*(Spielplan!J23:J28=Spielplan!I23:I28)*(Spielplan!J23:J28&lt;&gt;""))</f>
        <v>1</v>
      </c>
      <c r="F28" s="22">
        <f>SUMPRODUCT((Spielplan!G23:G28="Wiesenbären BSC")*(Spielplan!I23:I28&lt;Spielplan!J23:J28)*(Spielplan!I23:I28&lt;&gt;""))+SUMPRODUCT((Spielplan!H23:H28="Wiesenbären BSC")*(Spielplan!J23:J28&lt;Spielplan!I23:I28)*(Spielplan!J23:J28&lt;&gt;""))</f>
        <v>1</v>
      </c>
      <c r="G28" s="22">
        <f>SUMPRODUCT((Spielplan!G23:G28="Wiesenbären BSC")*IFERROR(Spielplan!I23:I28,0))+SUMPRODUCT((Spielplan!H23:H28="Wiesenbären BSC")*IFERROR(Spielplan!J23:J28,0))</f>
        <v>0</v>
      </c>
      <c r="H28" s="22">
        <f>SUMPRODUCT((Spielplan!G23:G28="Wiesenbären BSC")*IFERROR(Spielplan!J23:J28,0))+SUMPRODUCT((Spielplan!H23:H28="Wiesenbären BSC")*IFERROR(Spielplan!I23:I28,0))</f>
        <v>3</v>
      </c>
      <c r="I28" s="43">
        <f>G28-H28</f>
        <v>-3</v>
      </c>
      <c r="J28" s="44">
        <f>D28*3+E28</f>
        <v>4</v>
      </c>
      <c r="K28" s="43" t="s">
        <v>245</v>
      </c>
    </row>
    <row r="29" spans="1:11" ht="19.5" customHeight="1" x14ac:dyDescent="0.25">
      <c r="A29" s="41">
        <v>2</v>
      </c>
      <c r="B29" s="42" t="s">
        <v>145</v>
      </c>
      <c r="C29" s="22">
        <f>SUMPRODUCT(((Spielplan!G23:G28="Hafenclub Hamburg")+(Spielplan!H23:H28="Hafenclub Hamburg"))*(Spielplan!I23:I28&lt;&gt;""))</f>
        <v>3</v>
      </c>
      <c r="D29" s="22">
        <f>SUMPRODUCT((Spielplan!G23:G28="Hafenclub Hamburg")*(Spielplan!I23:I28&gt;Spielplan!J23:J28))+SUMPRODUCT((Spielplan!H23:H28="Hafenclub Hamburg")*(Spielplan!J23:J28&gt;Spielplan!I23:I28))</f>
        <v>1</v>
      </c>
      <c r="E29" s="22">
        <f>SUMPRODUCT((Spielplan!G23:G28="Hafenclub Hamburg")*(Spielplan!I23:I28=Spielplan!J23:J28)*(Spielplan!I23:I28&lt;&gt;""))+SUMPRODUCT((Spielplan!H23:H28="Hafenclub Hamburg")*(Spielplan!J23:J28=Spielplan!I23:I28)*(Spielplan!J23:J28&lt;&gt;""))</f>
        <v>1</v>
      </c>
      <c r="F29" s="22">
        <f>SUMPRODUCT((Spielplan!G23:G28="Hafenclub Hamburg")*(Spielplan!I23:I28&lt;Spielplan!J23:J28)*(Spielplan!I23:I28&lt;&gt;""))+SUMPRODUCT((Spielplan!H23:H28="Hafenclub Hamburg")*(Spielplan!J23:J28&lt;Spielplan!I23:I28)*(Spielplan!J23:J28&lt;&gt;""))</f>
        <v>1</v>
      </c>
      <c r="G29" s="22">
        <f>SUMPRODUCT((Spielplan!G23:G28="Hafenclub Hamburg")*IFERROR(Spielplan!I23:I28,0))+SUMPRODUCT((Spielplan!H23:H28="Hafenclub Hamburg")*IFERROR(Spielplan!J23:J28,0))</f>
        <v>0</v>
      </c>
      <c r="H29" s="22">
        <f>SUMPRODUCT((Spielplan!G23:G28="Hafenclub Hamburg")*IFERROR(Spielplan!J23:J28,0))+SUMPRODUCT((Spielplan!H23:H28="Hafenclub Hamburg")*IFERROR(Spielplan!I23:I28,0))</f>
        <v>0</v>
      </c>
      <c r="I29" s="43">
        <f>G29-H29</f>
        <v>0</v>
      </c>
      <c r="J29" s="44">
        <f>D29*3+E29</f>
        <v>4</v>
      </c>
      <c r="K29" s="43" t="s">
        <v>245</v>
      </c>
    </row>
    <row r="30" spans="1:11" ht="19.5" customHeight="1" x14ac:dyDescent="0.25">
      <c r="A30" s="45">
        <v>3</v>
      </c>
      <c r="B30" s="46" t="s">
        <v>150</v>
      </c>
      <c r="C30" s="17">
        <f>SUMPRODUCT(((Spielplan!G23:G28="Turnier SC Nord")+(Spielplan!H23:H28="Turnier SC Nord"))*(Spielplan!I23:I28&lt;&gt;""))</f>
        <v>3</v>
      </c>
      <c r="D30" s="17">
        <f>SUMPRODUCT((Spielplan!G23:G28="Turnier SC Nord")*(Spielplan!I23:I28&gt;Spielplan!J23:J28))+SUMPRODUCT((Spielplan!H23:H28="Turnier SC Nord")*(Spielplan!J23:J28&gt;Spielplan!I23:I28))</f>
        <v>2</v>
      </c>
      <c r="E30" s="17">
        <f>SUMPRODUCT((Spielplan!G23:G28="Turnier SC Nord")*(Spielplan!I23:I28=Spielplan!J23:J28)*(Spielplan!I23:I28&lt;&gt;""))+SUMPRODUCT((Spielplan!H23:H28="Turnier SC Nord")*(Spielplan!J23:J28=Spielplan!I23:I28)*(Spielplan!J23:J28&lt;&gt;""))</f>
        <v>0</v>
      </c>
      <c r="F30" s="17">
        <f>SUMPRODUCT((Spielplan!G23:G28="Turnier SC Nord")*(Spielplan!I23:I28&lt;Spielplan!J23:J28)*(Spielplan!I23:I28&lt;&gt;""))+SUMPRODUCT((Spielplan!H23:H28="Turnier SC Nord")*(Spielplan!J23:J28&lt;Spielplan!I23:I28)*(Spielplan!J23:J28&lt;&gt;""))</f>
        <v>1</v>
      </c>
      <c r="G30" s="17">
        <f>SUMPRODUCT((Spielplan!G23:G28="Turnier SC Nord")*IFERROR(Spielplan!I23:I28,0))+SUMPRODUCT((Spielplan!H23:H28="Turnier SC Nord")*IFERROR(Spielplan!J23:J28,0))</f>
        <v>0</v>
      </c>
      <c r="H30" s="17">
        <f>SUMPRODUCT((Spielplan!G23:G28="Turnier SC Nord")*IFERROR(Spielplan!J23:J28,0))+SUMPRODUCT((Spielplan!H23:H28="Turnier SC Nord")*IFERROR(Spielplan!I23:I28,0))</f>
        <v>0</v>
      </c>
      <c r="I30" s="47">
        <f>G30-H30</f>
        <v>0</v>
      </c>
      <c r="J30" s="48">
        <f>D30*3+E30</f>
        <v>6</v>
      </c>
      <c r="K30" s="49" t="s">
        <v>246</v>
      </c>
    </row>
    <row r="31" spans="1:11" ht="19.5" customHeight="1" x14ac:dyDescent="0.25">
      <c r="A31" s="35">
        <v>4</v>
      </c>
      <c r="B31" s="50" t="s">
        <v>155</v>
      </c>
      <c r="C31" s="16">
        <f>SUMPRODUCT(((Spielplan!G23:G28="FC Münzberg")+(Spielplan!H23:H28="FC Münzberg"))*(Spielplan!I23:I28&lt;&gt;""))</f>
        <v>3</v>
      </c>
      <c r="D31" s="16">
        <f>SUMPRODUCT((Spielplan!G23:G28="FC Münzberg")*(Spielplan!I23:I28&gt;Spielplan!J23:J28))+SUMPRODUCT((Spielplan!H23:H28="FC Münzberg")*(Spielplan!J23:J28&gt;Spielplan!I23:I28))</f>
        <v>1</v>
      </c>
      <c r="E31" s="16">
        <f>SUMPRODUCT((Spielplan!G23:G28="FC Münzberg")*(Spielplan!I23:I28=Spielplan!J23:J28)*(Spielplan!I23:I28&lt;&gt;""))+SUMPRODUCT((Spielplan!H23:H28="FC Münzberg")*(Spielplan!J23:J28=Spielplan!I23:I28)*(Spielplan!J23:J28&lt;&gt;""))</f>
        <v>0</v>
      </c>
      <c r="F31" s="16">
        <f>SUMPRODUCT((Spielplan!G23:G28="FC Münzberg")*(Spielplan!I23:I28&lt;Spielplan!J23:J28)*(Spielplan!I23:I28&lt;&gt;""))+SUMPRODUCT((Spielplan!H23:H28="FC Münzberg")*(Spielplan!J23:J28&lt;Spielplan!I23:I28)*(Spielplan!J23:J28&lt;&gt;""))</f>
        <v>2</v>
      </c>
      <c r="G31" s="16">
        <f>SUMPRODUCT((Spielplan!G23:G28="FC Münzberg")*IFERROR(Spielplan!I23:I28,0))+SUMPRODUCT((Spielplan!H23:H28="FC Münzberg")*IFERROR(Spielplan!J23:J28,0))</f>
        <v>0</v>
      </c>
      <c r="H31" s="16">
        <f>SUMPRODUCT((Spielplan!G23:G28="FC Münzberg")*IFERROR(Spielplan!J23:J28,0))+SUMPRODUCT((Spielplan!H23:H28="FC Münzberg")*IFERROR(Spielplan!I23:I28,0))</f>
        <v>0</v>
      </c>
      <c r="I31" s="36">
        <f>G31-H31</f>
        <v>0</v>
      </c>
      <c r="J31" s="48">
        <f>D31*3+E31</f>
        <v>3</v>
      </c>
      <c r="K31" s="51" t="s">
        <v>246</v>
      </c>
    </row>
    <row r="33" spans="1:11" ht="18" customHeight="1" x14ac:dyDescent="0.25">
      <c r="A33" s="55" t="s">
        <v>250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</row>
  </sheetData>
  <mergeCells count="7">
    <mergeCell ref="A26:K26"/>
    <mergeCell ref="A33:K33"/>
    <mergeCell ref="A1:K1"/>
    <mergeCell ref="A3:K3"/>
    <mergeCell ref="A5:K5"/>
    <mergeCell ref="A12:K12"/>
    <mergeCell ref="A19:K19"/>
  </mergeCells>
  <pageMargins left="0.75" right="0.75" top="1" bottom="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8973A"/>
  </sheetPr>
  <dimension ref="A1:M39"/>
  <sheetViews>
    <sheetView showGridLines="0" zoomScaleNormal="100" workbookViewId="0"/>
  </sheetViews>
  <sheetFormatPr baseColWidth="10" defaultColWidth="8.7109375" defaultRowHeight="15" x14ac:dyDescent="0.25"/>
  <cols>
    <col min="1" max="13" width="20" customWidth="1"/>
  </cols>
  <sheetData>
    <row r="1" spans="1:13" ht="36" customHeight="1" x14ac:dyDescent="0.25">
      <c r="A1" s="3" t="s">
        <v>251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4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8" customHeight="1" x14ac:dyDescent="0.25">
      <c r="A3" s="2" t="s">
        <v>252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customHeight="1" x14ac:dyDescent="0.25"/>
    <row r="5" spans="1:13" ht="24" customHeight="1" x14ac:dyDescent="0.25">
      <c r="A5" s="57" t="s">
        <v>253</v>
      </c>
      <c r="B5" s="57"/>
      <c r="C5" s="57"/>
      <c r="D5" s="52"/>
      <c r="E5" s="58" t="s">
        <v>254</v>
      </c>
      <c r="F5" s="58"/>
      <c r="G5" s="58"/>
      <c r="H5" s="52"/>
      <c r="I5" s="57" t="s">
        <v>253</v>
      </c>
      <c r="J5" s="57"/>
      <c r="K5" s="57"/>
    </row>
    <row r="6" spans="1:13" ht="18" customHeight="1" x14ac:dyDescent="0.25"/>
    <row r="7" spans="1:13" ht="21.75" customHeight="1" x14ac:dyDescent="0.25">
      <c r="A7" s="59" t="s">
        <v>215</v>
      </c>
      <c r="B7" s="59"/>
      <c r="C7" s="53" t="s">
        <v>37</v>
      </c>
      <c r="D7" s="60" t="s">
        <v>255</v>
      </c>
      <c r="H7" s="60" t="s">
        <v>255</v>
      </c>
      <c r="I7" s="59" t="s">
        <v>220</v>
      </c>
      <c r="J7" s="59"/>
      <c r="K7" s="53" t="s">
        <v>37</v>
      </c>
    </row>
    <row r="8" spans="1:13" ht="7.5" customHeight="1" x14ac:dyDescent="0.25">
      <c r="D8" s="60"/>
      <c r="H8" s="60"/>
    </row>
    <row r="9" spans="1:13" ht="21.75" customHeight="1" x14ac:dyDescent="0.25">
      <c r="A9" s="59" t="s">
        <v>216</v>
      </c>
      <c r="B9" s="59"/>
      <c r="C9" s="53" t="s">
        <v>37</v>
      </c>
      <c r="D9" s="60"/>
      <c r="H9" s="60"/>
      <c r="I9" s="59" t="s">
        <v>221</v>
      </c>
      <c r="J9" s="59"/>
      <c r="K9" s="53" t="s">
        <v>37</v>
      </c>
    </row>
    <row r="10" spans="1:13" ht="7.5" customHeight="1" x14ac:dyDescent="0.25"/>
    <row r="11" spans="1:13" ht="7.5" customHeight="1" x14ac:dyDescent="0.25">
      <c r="A11" s="61" t="s">
        <v>256</v>
      </c>
      <c r="B11" s="61"/>
      <c r="C11" s="61"/>
      <c r="I11" s="61" t="s">
        <v>257</v>
      </c>
      <c r="J11" s="61"/>
      <c r="K11" s="61"/>
    </row>
    <row r="12" spans="1:13" ht="19.5" customHeight="1" x14ac:dyDescent="0.25">
      <c r="A12" s="61"/>
      <c r="B12" s="61"/>
      <c r="C12" s="61"/>
      <c r="I12" s="61"/>
      <c r="J12" s="61"/>
      <c r="K12" s="61"/>
    </row>
    <row r="13" spans="1:13" ht="18" customHeight="1" x14ac:dyDescent="0.25"/>
    <row r="14" spans="1:13" ht="18" customHeight="1" x14ac:dyDescent="0.25"/>
    <row r="15" spans="1:13" ht="24" customHeight="1" x14ac:dyDescent="0.25">
      <c r="E15" s="62" t="s">
        <v>258</v>
      </c>
      <c r="F15" s="62"/>
      <c r="G15" s="62"/>
    </row>
    <row r="16" spans="1:13" ht="21.75" customHeight="1" x14ac:dyDescent="0.25">
      <c r="E16" s="59" t="s">
        <v>228</v>
      </c>
      <c r="F16" s="59"/>
      <c r="G16" s="54" t="s">
        <v>37</v>
      </c>
    </row>
    <row r="17" spans="1:7" ht="7.5" customHeight="1" x14ac:dyDescent="0.25"/>
    <row r="18" spans="1:7" ht="21.75" customHeight="1" x14ac:dyDescent="0.25">
      <c r="E18" s="59" t="s">
        <v>229</v>
      </c>
      <c r="F18" s="59"/>
      <c r="G18" s="54" t="s">
        <v>37</v>
      </c>
    </row>
    <row r="19" spans="1:7" ht="7.5" customHeight="1" x14ac:dyDescent="0.25"/>
    <row r="20" spans="1:7" ht="21.75" customHeight="1" x14ac:dyDescent="0.25">
      <c r="E20" s="63" t="s">
        <v>259</v>
      </c>
      <c r="F20" s="63"/>
      <c r="G20" s="63"/>
    </row>
    <row r="21" spans="1:7" ht="7.5" customHeight="1" x14ac:dyDescent="0.25">
      <c r="E21" s="63"/>
      <c r="F21" s="63"/>
      <c r="G21" s="63"/>
    </row>
    <row r="22" spans="1:7" ht="18" customHeight="1" x14ac:dyDescent="0.25"/>
    <row r="23" spans="1:7" ht="18" customHeight="1" x14ac:dyDescent="0.25"/>
    <row r="24" spans="1:7" ht="19.5" customHeight="1" x14ac:dyDescent="0.25">
      <c r="A24" s="64" t="s">
        <v>260</v>
      </c>
      <c r="B24" s="64"/>
      <c r="C24" s="64"/>
    </row>
    <row r="25" spans="1:7" ht="19.5" customHeight="1" x14ac:dyDescent="0.25">
      <c r="A25" s="59" t="s">
        <v>224</v>
      </c>
      <c r="B25" s="59"/>
      <c r="C25" s="53" t="s">
        <v>37</v>
      </c>
    </row>
    <row r="26" spans="1:7" ht="7.5" customHeight="1" x14ac:dyDescent="0.25"/>
    <row r="27" spans="1:7" ht="19.5" customHeight="1" x14ac:dyDescent="0.25">
      <c r="A27" s="59" t="s">
        <v>225</v>
      </c>
      <c r="B27" s="59"/>
      <c r="C27" s="53" t="s">
        <v>37</v>
      </c>
    </row>
    <row r="28" spans="1:7" ht="18" customHeight="1" x14ac:dyDescent="0.25"/>
    <row r="29" spans="1:7" ht="18" customHeight="1" x14ac:dyDescent="0.25">
      <c r="A29" s="65" t="s">
        <v>261</v>
      </c>
      <c r="B29" s="65"/>
      <c r="C29" s="65"/>
    </row>
    <row r="30" spans="1:7" ht="18" customHeight="1" x14ac:dyDescent="0.25"/>
    <row r="31" spans="1:7" ht="18" customHeight="1" x14ac:dyDescent="0.25"/>
    <row r="32" spans="1: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</sheetData>
  <mergeCells count="21">
    <mergeCell ref="E20:G21"/>
    <mergeCell ref="A24:C24"/>
    <mergeCell ref="A25:B25"/>
    <mergeCell ref="A27:B27"/>
    <mergeCell ref="A29:C29"/>
    <mergeCell ref="A11:C12"/>
    <mergeCell ref="I11:K12"/>
    <mergeCell ref="E15:G15"/>
    <mergeCell ref="E16:F16"/>
    <mergeCell ref="E18:F18"/>
    <mergeCell ref="A7:B7"/>
    <mergeCell ref="D7:D9"/>
    <mergeCell ref="H7:H9"/>
    <mergeCell ref="I7:J7"/>
    <mergeCell ref="A9:B9"/>
    <mergeCell ref="I9:J9"/>
    <mergeCell ref="A1:M1"/>
    <mergeCell ref="A3:M3"/>
    <mergeCell ref="A5:C5"/>
    <mergeCell ref="E5:G5"/>
    <mergeCell ref="I5:K5"/>
  </mergeCell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Dashboard</vt:lpstr>
      <vt:lpstr>Teams</vt:lpstr>
      <vt:lpstr>Spielplan</vt:lpstr>
      <vt:lpstr>Tabelle</vt:lpstr>
      <vt:lpstr>K.O.-Runde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2026-08-21T08:03:14Z</dcterms:created>
  <dcterms:modified xsi:type="dcterms:W3CDTF">2026-08-21T10:30:31Z</dcterms:modified>
  <dc:language>en-US</dc:language>
</cp:coreProperties>
</file>