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fil" sheetId="1" state="visible" r:id="rId3"/>
    <sheet name="Wochenprotokoll" sheetId="2" state="visible" r:id="rId4"/>
    <sheet name="Auswertung" sheetId="3" state="visible" r:id="rId5"/>
    <sheet name="Monatszusammenfassung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<sst xmlns="http://schemas.openxmlformats.org/spreadsheetml/2006/main" count="111" uniqueCount="106">
  <si>
    <t xml:space="preserve">GEWICHTSKONTROLLE  ·  Persönliches Tracking-System</t>
  </si>
  <si>
    <t xml:space="preserve">Erfassen Sie regelmäßig Ihre Körperdaten und behalten Sie Ihre Fortschritte im Blick</t>
  </si>
  <si>
    <t xml:space="preserve">  ▸  Persönliche Angaben</t>
  </si>
  <si>
    <t xml:space="preserve">Name</t>
  </si>
  <si>
    <t xml:space="preserve">Max Mustermann</t>
  </si>
  <si>
    <t xml:space="preserve">Geburtsdatum</t>
  </si>
  <si>
    <t xml:space="preserve">Geschlecht</t>
  </si>
  <si>
    <t xml:space="preserve">Männlich</t>
  </si>
  <si>
    <t xml:space="preserve">Körpergröße (cm)</t>
  </si>
  <si>
    <t xml:space="preserve">Startgewicht (kg)</t>
  </si>
  <si>
    <t xml:space="preserve">Zielgewicht (kg)</t>
  </si>
  <si>
    <t xml:space="preserve">Startdatum</t>
  </si>
  <si>
    <t xml:space="preserve">Zieldatum</t>
  </si>
  <si>
    <t xml:space="preserve">  ▸  Automatische Berechnungen</t>
  </si>
  <si>
    <t xml:space="preserve">Alter (Jahre)</t>
  </si>
  <si>
    <t xml:space="preserve">Zu-/Abnehmziel (kg)</t>
  </si>
  <si>
    <t xml:space="preserve">Verbleibende Tage</t>
  </si>
  <si>
    <t xml:space="preserve">Start-BMI</t>
  </si>
  <si>
    <t xml:space="preserve">Ziel-BMI</t>
  </si>
  <si>
    <t xml:space="preserve">BMI-Kategorie (Start)</t>
  </si>
  <si>
    <t xml:space="preserve">Ø Wochenabnahme benötigt</t>
  </si>
  <si>
    <t xml:space="preserve">  ▸  BMI-Referenztabelle (WHO)</t>
  </si>
  <si>
    <t xml:space="preserve">Untergewicht</t>
  </si>
  <si>
    <t xml:space="preserve">&lt; 18,5</t>
  </si>
  <si>
    <t xml:space="preserve">Normalgewicht</t>
  </si>
  <si>
    <t xml:space="preserve">18,5 – 24,9</t>
  </si>
  <si>
    <t xml:space="preserve">Übergewicht</t>
  </si>
  <si>
    <t xml:space="preserve">25,0 – 29,9</t>
  </si>
  <si>
    <t xml:space="preserve">Adipositas Grad I</t>
  </si>
  <si>
    <t xml:space="preserve">30,0 – 34,9</t>
  </si>
  <si>
    <t xml:space="preserve">Adipositas Grad II</t>
  </si>
  <si>
    <t xml:space="preserve">35,0 – 39,9</t>
  </si>
  <si>
    <t xml:space="preserve">Adipositas Grad III</t>
  </si>
  <si>
    <t xml:space="preserve">≥ 40,0</t>
  </si>
  <si>
    <t xml:space="preserve">  ▸  Hinweise zur Nutzung</t>
  </si>
  <si>
    <t xml:space="preserve">① Tragen Sie täglich Ihre Messwerte im Blatt »Wochenprotokoll« ein.</t>
  </si>
  <si>
    <t xml:space="preserve">② Wiegen Sie sich immer morgens, nüchtern und zur gleichen Zeit.</t>
  </si>
  <si>
    <t xml:space="preserve">③ Die Auswertung und Grafiken werden automatisch berechnet.</t>
  </si>
  <si>
    <t xml:space="preserve">④ Gelb markierte Zellen sind Eingabefelder – bitte nur dort eintragen.</t>
  </si>
  <si>
    <t xml:space="preserve">⑤ Passen Sie Startgewicht und Zieldatum oben jederzeit an.</t>
  </si>
  <si>
    <t xml:space="preserve">WOCHENPROTOKOLL  ·  Gewichts- &amp; Körpermaßerfassung</t>
  </si>
  <si>
    <t xml:space="preserve">⚠  Gelb hinterlegte Felder bitte manuell ausfüllen  |  Alle anderen Werte werden automatisch berechnet</t>
  </si>
  <si>
    <t xml:space="preserve">KW</t>
  </si>
  <si>
    <t xml:space="preserve">Datum (Mo)</t>
  </si>
  <si>
    <t xml:space="preserve">Gewicht
(kg)</t>
  </si>
  <si>
    <t xml:space="preserve">Veränd.
zur Vorwoche</t>
  </si>
  <si>
    <t xml:space="preserve">Veränd.
zum Start</t>
  </si>
  <si>
    <t xml:space="preserve">BMI</t>
  </si>
  <si>
    <t xml:space="preserve">Taillen-
umfang (cm)</t>
  </si>
  <si>
    <t xml:space="preserve">Hüft-
umfang (cm)</t>
  </si>
  <si>
    <t xml:space="preserve">Aktivitäts-
tage</t>
  </si>
  <si>
    <t xml:space="preserve">Notizen / Besonderheiten</t>
  </si>
  <si>
    <t xml:space="preserve">—</t>
  </si>
  <si>
    <t xml:space="preserve">Startmessung</t>
  </si>
  <si>
    <t xml:space="preserve">Leichter Rückgang</t>
  </si>
  <si>
    <t xml:space="preserve">Grippe – wenig Bewegung</t>
  </si>
  <si>
    <t xml:space="preserve">Sporturlaub</t>
  </si>
  <si>
    <t xml:space="preserve">Sehr gute Woche</t>
  </si>
  <si>
    <t xml:space="preserve">Festessen Samstag</t>
  </si>
  <si>
    <t xml:space="preserve">Wohlbefinden ++</t>
  </si>
  <si>
    <t xml:space="preserve">Neue Laufschuhe</t>
  </si>
  <si>
    <t xml:space="preserve">Ärztetermin – Werte gut</t>
  </si>
  <si>
    <t xml:space="preserve">Plateau-Phase</t>
  </si>
  <si>
    <t xml:space="preserve">Motivationsschub</t>
  </si>
  <si>
    <t xml:space="preserve">Urlaub – ausgewogen ernährt</t>
  </si>
  <si>
    <t xml:space="preserve">Zwischenstandmessung</t>
  </si>
  <si>
    <t xml:space="preserve">JAHRESAUSWERTUNG 2026  ·  Übersicht &amp; Fortschrittsanalyse</t>
  </si>
  <si>
    <t xml:space="preserve">  ▸  Statistische Kennzahlen</t>
  </si>
  <si>
    <t xml:space="preserve">Aktuelles Gewicht (kg)</t>
  </si>
  <si>
    <t xml:space="preserve">Gesamtveränderung (kg)</t>
  </si>
  <si>
    <t xml:space="preserve">Minimales Gewicht (kg)</t>
  </si>
  <si>
    <t xml:space="preserve">Maximales Gewicht (kg)</t>
  </si>
  <si>
    <t xml:space="preserve">Durchschnittsgewicht</t>
  </si>
  <si>
    <t xml:space="preserve">Ø wöchentliche Veränd.</t>
  </si>
  <si>
    <t xml:space="preserve">Messwochen (ausgefüllt)</t>
  </si>
  <si>
    <t xml:space="preserve">Aktueller BMI</t>
  </si>
  <si>
    <t xml:space="preserve">Verbleibend bis Ziel</t>
  </si>
  <si>
    <t xml:space="preserve">Zielerreichung (%)</t>
  </si>
  <si>
    <t xml:space="preserve">  ▸  Körpermaße – Vergleich Start / Aktuell</t>
  </si>
  <si>
    <t xml:space="preserve">Taillenumfang Start (cm)</t>
  </si>
  <si>
    <t xml:space="preserve">Taillenumfang aktuell (cm)</t>
  </si>
  <si>
    <t xml:space="preserve">Hüftumfang Start (cm)</t>
  </si>
  <si>
    <t xml:space="preserve">Hüftumfang aktuell (cm)</t>
  </si>
  <si>
    <t xml:space="preserve">Ø Aktivitätstage/Woche</t>
  </si>
  <si>
    <t xml:space="preserve">💡  Tipp: Das Diagramm zeigt automatisch die eingetragenen Wochen aus dem Wochenprotokoll.</t>
  </si>
  <si>
    <t xml:space="preserve">MONATSZUSAMMENFASSUNG 2026  ·  Gewichtstrend nach Monat</t>
  </si>
  <si>
    <t xml:space="preserve">  ▸  Monatsübersicht – Ø Gewicht, Veränderung &amp; Aktivität</t>
  </si>
  <si>
    <t xml:space="preserve">Monat</t>
  </si>
  <si>
    <t xml:space="preserve">Ø Gewicht
(kg)</t>
  </si>
  <si>
    <t xml:space="preserve">Min.
(kg)</t>
  </si>
  <si>
    <t xml:space="preserve">Max.
(kg)</t>
  </si>
  <si>
    <t xml:space="preserve">Veränd.
(kg)</t>
  </si>
  <si>
    <t xml:space="preserve">Ø Aktiv-
tage</t>
  </si>
  <si>
    <t xml:space="preserve">Januar</t>
  </si>
  <si>
    <t xml:space="preserve">Februar</t>
  </si>
  <si>
    <t xml:space="preserve">März</t>
  </si>
  <si>
    <t xml:space="preserve">April</t>
  </si>
  <si>
    <t xml:space="preserve">Mai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</si>
  <si>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</si>
  <si>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</si>
  <si>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</si>
  <si>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</si>
  <si>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</si>
  <si>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November</t>
  </si>
  <si>
    <t xml:space="preserve">Dezember</t>
  </si>
  <si>
    <t xml:space="preserve">JAHRESGESAMT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</si>
</sst>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dd\.mm\.yyyy"/>
    <numFmt numFmtId="166" formatCode="0.0"/>
    <numFmt numFmtId="167" formatCode="General"/>
    <numFmt numFmtId="168" formatCode="0.00"/>
    <numFmt numFmtId="169" formatCode="\+0.0;\-0.0;\-"/>
    <numFmt numFmtId="170" formatCode="0"/>
    <numFmt numFmtId="171" formatCode="\+0.0;\-0.0;0.0"/>
    <numFmt numFmtId="172" formatCode="\+0.00;\-0.00;0.00"/>
    <numFmt numFmtId="173" formatCode="0%"/>
  </numFmts>
  <fonts count="3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0"/>
      <charset val="1"/>
    </font>
    <font>
      <i val="true"/>
      <sz val="10"/>
      <color rgb="FFAABFD4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1A1A2E"/>
      <name val="Calibri"/>
      <family val="0"/>
      <charset val="1"/>
    </font>
    <font>
      <b val="true"/>
      <sz val="10"/>
      <color rgb="FF2E4371"/>
      <name val="Calibri"/>
      <family val="0"/>
      <charset val="1"/>
    </font>
    <font>
      <b val="true"/>
      <sz val="10"/>
      <color rgb="FF1A2B4A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9"/>
      <color rgb="FFC0392B"/>
      <name val="Calibri"/>
      <family val="0"/>
      <charset val="1"/>
    </font>
    <font>
      <b val="true"/>
      <sz val="9"/>
      <color rgb="FF1A2B4A"/>
      <name val="Calibri"/>
      <family val="0"/>
      <charset val="1"/>
    </font>
    <font>
      <b val="true"/>
      <sz val="9"/>
      <color rgb="FFD4A017"/>
      <name val="Calibri"/>
      <family val="0"/>
      <charset val="1"/>
    </font>
    <font>
      <b val="true"/>
      <sz val="9"/>
      <color rgb="FFE8704A"/>
      <name val="Calibri"/>
      <family val="0"/>
      <charset val="1"/>
    </font>
    <font>
      <b val="true"/>
      <sz val="9"/>
      <color rgb="FF8B1A1A"/>
      <name val="Calibri"/>
      <family val="0"/>
      <charset val="1"/>
    </font>
    <font>
      <b val="true"/>
      <sz val="9"/>
      <color rgb="FF4A0000"/>
      <name val="Calibri"/>
      <family val="0"/>
      <charset val="1"/>
    </font>
    <font>
      <i val="true"/>
      <sz val="9"/>
      <color rgb="FF3D3D5C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i val="true"/>
      <sz val="9"/>
      <color rgb="FFC0392B"/>
      <name val="Calibri"/>
      <family val="0"/>
      <charset val="1"/>
    </font>
    <font>
      <b val="true"/>
      <sz val="9"/>
      <color rgb="FF4A6FA5"/>
      <name val="Calibri"/>
      <family val="0"/>
      <charset val="1"/>
    </font>
    <font>
      <sz val="9"/>
      <color rgb="FF1A1A2E"/>
      <name val="Calibri"/>
      <family val="0"/>
      <charset val="1"/>
    </font>
    <font>
      <sz val="9"/>
      <color rgb="FF3D3D5C"/>
      <name val="Calibri"/>
      <family val="0"/>
      <charset val="1"/>
    </font>
    <font>
      <b val="true"/>
      <sz val="11"/>
      <color rgb="FF1A2B4A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5"/>
      <color rgb="FFFFFFFF"/>
      <name val="Calibri"/>
      <family val="0"/>
      <charset val="1"/>
    </font>
    <font>
      <sz val="10"/>
      <color rgb="FF1A1A2E"/>
      <name val="Calibri"/>
      <family val="0"/>
      <charset val="1"/>
    </font>
    <font>
      <sz val="10"/>
      <color rgb="FF3D3D5C"/>
      <name val="Calibri"/>
      <family val="0"/>
      <charset val="1"/>
    </font>
    <font>
      <b val="true"/>
      <sz val="10"/>
      <color rgb="FFD4A017"/>
      <name val="Calibri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1A2B4A"/>
        <bgColor rgb="FF1A1A2E"/>
      </patternFill>
    </fill>
    <fill>
      <patternFill patternType="solid">
        <fgColor rgb="FF2E4371"/>
        <bgColor rgb="FF3D3D5C"/>
      </patternFill>
    </fill>
    <fill>
      <patternFill patternType="solid">
        <fgColor rgb="FFF0F3F8"/>
        <bgColor rgb="FFEBF0F9"/>
      </patternFill>
    </fill>
    <fill>
      <patternFill patternType="solid">
        <fgColor rgb="FFEBF0F9"/>
        <bgColor rgb="FFF0F3F8"/>
      </patternFill>
    </fill>
    <fill>
      <patternFill patternType="solid">
        <fgColor rgb="FFD6DCE4"/>
        <bgColor rgb="FFD9D9D9"/>
      </patternFill>
    </fill>
    <fill>
      <patternFill patternType="solid">
        <fgColor rgb="FFC0392B"/>
        <bgColor rgb="FF993366"/>
      </patternFill>
    </fill>
    <fill>
      <patternFill patternType="solid">
        <fgColor rgb="FFD4A017"/>
        <bgColor rgb="FFFFCC00"/>
      </patternFill>
    </fill>
    <fill>
      <patternFill patternType="solid">
        <fgColor rgb="FFE8704A"/>
        <bgColor rgb="FFFF6600"/>
      </patternFill>
    </fill>
    <fill>
      <patternFill patternType="solid">
        <fgColor rgb="FF8B1A1A"/>
        <bgColor rgb="FF800000"/>
      </patternFill>
    </fill>
    <fill>
      <patternFill patternType="solid">
        <fgColor rgb="FF4A0000"/>
        <bgColor rgb="FF800000"/>
      </patternFill>
    </fill>
    <fill>
      <patternFill patternType="solid">
        <fgColor rgb="FFFFFFFF"/>
        <bgColor rgb="FFFFF8E1"/>
      </patternFill>
    </fill>
    <fill>
      <patternFill patternType="solid">
        <fgColor rgb="FFFFF8E1"/>
        <bgColor rgb="FFFFF9C4"/>
      </patternFill>
    </fill>
    <fill>
      <patternFill patternType="solid">
        <fgColor rgb="FFFFF9C4"/>
        <bgColor rgb="FFFFF8E1"/>
      </patternFill>
    </fill>
    <fill>
      <patternFill patternType="solid">
        <fgColor rgb="FF4A6FA5"/>
        <bgColor rgb="FF3366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4A6FA5"/>
      </left>
      <right style="thin">
        <color rgb="FF4A6FA5"/>
      </right>
      <top style="thin">
        <color rgb="FF4A6FA5"/>
      </top>
      <bottom style="thin">
        <color rgb="FF4A6FA5"/>
      </bottom>
      <diagonal/>
    </border>
    <border diagonalUp="false" diagonalDown="false">
      <left style="thin">
        <color rgb="FF1A2B4A"/>
      </left>
      <right style="thin">
        <color rgb="FF1A2B4A"/>
      </right>
      <top style="thin">
        <color rgb="FF1A2B4A"/>
      </top>
      <bottom style="thin">
        <color rgb="FF1A2B4A"/>
      </bottom>
      <diagonal/>
    </border>
    <border diagonalUp="false" diagonalDown="false">
      <left style="thin">
        <color rgb="FF8FA3BF"/>
      </left>
      <right style="thin">
        <color rgb="FF8FA3BF"/>
      </right>
      <top style="thin">
        <color rgb="FF8FA3BF"/>
      </top>
      <bottom style="thin">
        <color rgb="FF8FA3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9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9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9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9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1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21" fillId="1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9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22" fillId="1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21" fillId="1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21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21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9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6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22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21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2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0" fillId="12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9" fillId="1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1" fillId="1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6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23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3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23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3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23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28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8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8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8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3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3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4A0000"/>
      <rgbColor rgb="FF008000"/>
      <rgbColor rgb="FF000080"/>
      <rgbColor rgb="FF808000"/>
      <rgbColor rgb="FF800080"/>
      <rgbColor rgb="FF008080"/>
      <rgbColor rgb="FFAABFD4"/>
      <rgbColor rgb="FF878787"/>
      <rgbColor rgb="FF9999FF"/>
      <rgbColor rgb="FFC0392B"/>
      <rgbColor rgb="FFFFF9C4"/>
      <rgbColor rgb="FFEBF0F9"/>
      <rgbColor rgb="FF660066"/>
      <rgbColor rgb="FFE8704A"/>
      <rgbColor rgb="FF0066CC"/>
      <rgbColor rgb="FFD6D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3F8"/>
      <rgbColor rgb="FFD9D9D9"/>
      <rgbColor rgb="FFFFF8E1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4A017"/>
      <rgbColor rgb="FFFF6600"/>
      <rgbColor rgb="FF4A6FA5"/>
      <rgbColor rgb="FF8FA3BF"/>
      <rgbColor rgb="FF1A2B4A"/>
      <rgbColor rgb="FF339966"/>
      <rgbColor rgb="FF003300"/>
      <rgbColor rgb="FF1A1A2E"/>
      <rgbColor rgb="FF8B1A1A"/>
      <rgbColor rgb="FF993366"/>
      <rgbColor rgb="FF2E4371"/>
      <rgbColor rgb="FF3D3D5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Gewichtsverlauf 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"Gewicht (kg)"</c:f>
              <c:strCache>
                <c:ptCount val="1"/>
                <c:pt idx="0">
                  <c:v>Gewicht (kg)</c:v>
                </c:pt>
              </c:strCache>
            </c:strRef>
          </c:tx>
          <c:spPr>
            <a:solidFill>
              <a:srgbClr val="2e4371"/>
            </a:solidFill>
            <a:ln w="20160">
              <a:solidFill>
                <a:srgbClr val="2e4371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Wochenprotokoll!$B$7:$B$27</c:f>
              <c:strCach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</c:strCache>
            </c:strRef>
          </c:cat>
          <c:val>
            <c:numRef>
              <c:f>Wochenprotokoll!$D$7:$D$27</c:f>
              <c:numCache>
                <c:formatCode>0.0</c:formatCode>
                <c:ptCount val="21"/>
                <c:pt idx="0">
                  <c:v>89.5</c:v>
                </c:pt>
                <c:pt idx="1">
                  <c:v>89</c:v>
                </c:pt>
                <c:pt idx="2">
                  <c:v>88.6</c:v>
                </c:pt>
                <c:pt idx="3">
                  <c:v>88.8</c:v>
                </c:pt>
                <c:pt idx="4">
                  <c:v>88.2</c:v>
                </c:pt>
                <c:pt idx="5">
                  <c:v>87.9</c:v>
                </c:pt>
                <c:pt idx="6">
                  <c:v>87.5</c:v>
                </c:pt>
                <c:pt idx="7">
                  <c:v>87.8</c:v>
                </c:pt>
                <c:pt idx="8">
                  <c:v>87.2</c:v>
                </c:pt>
                <c:pt idx="9">
                  <c:v>86.9</c:v>
                </c:pt>
                <c:pt idx="10">
                  <c:v>86.5</c:v>
                </c:pt>
                <c:pt idx="11">
                  <c:v>86.7</c:v>
                </c:pt>
                <c:pt idx="12">
                  <c:v>86.1</c:v>
                </c:pt>
                <c:pt idx="13">
                  <c:v>85.8</c:v>
                </c:pt>
                <c:pt idx="14">
                  <c:v>85.5</c:v>
                </c:pt>
                <c:pt idx="15">
                  <c:v>85.9</c:v>
                </c:pt>
                <c:pt idx="16">
                  <c:v>85.3</c:v>
                </c:pt>
                <c:pt idx="17">
                  <c:v>84.9</c:v>
                </c:pt>
                <c:pt idx="18">
                  <c:v>84.6</c:v>
                </c:pt>
                <c:pt idx="19">
                  <c:v>84.2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5873742"/>
        <c:axId val="63590269"/>
      </c:lineChart>
      <c:catAx>
        <c:axId val="587374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Kalenderwoche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3590269"/>
        <c:crosses val="autoZero"/>
        <c:auto val="1"/>
        <c:lblAlgn val="ctr"/>
        <c:lblOffset val="100"/>
        <c:noMultiLvlLbl val="0"/>
      </c:catAx>
      <c:valAx>
        <c:axId val="63590269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Gewicht (kg)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87374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4</xdr:row>
      <xdr:rowOff>0</xdr:rowOff>
    </xdr:from>
    <xdr:to>
      <xdr:col>14</xdr:col>
      <xdr:colOff>537840</xdr:colOff>
      <xdr:row>22</xdr:row>
      <xdr:rowOff>14400</xdr:rowOff>
    </xdr:to>
    <xdr:graphicFrame>
      <xdr:nvGraphicFramePr>
        <xdr:cNvPr id="0" name="Chart 1"/>
        <xdr:cNvGraphicFramePr/>
      </xdr:nvGraphicFramePr>
      <xdr:xfrm>
        <a:off x="3383280" y="800280"/>
        <a:ext cx="7919640" cy="43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A"/>
    <pageSetUpPr fitToPage="false"/>
  </sheetPr>
  <dimension ref="A1:G5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2"/>
    <col collapsed="false" customWidth="true" hidden="false" outlineLevel="0" max="3" min="3" style="0" width="18"/>
    <col collapsed="false" customWidth="true" hidden="false" outlineLevel="0" max="4" min="4" style="0" width="4"/>
    <col collapsed="false" customWidth="true" hidden="false" outlineLevel="0" max="5" min="5" style="0" width="22"/>
    <col collapsed="false" customWidth="true" hidden="false" outlineLevel="0" max="6" min="6" style="0" width="18"/>
    <col collapsed="false" customWidth="true" hidden="false" outlineLevel="0" max="7" min="7" style="0" width="2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1"/>
      <c r="B2" s="1"/>
      <c r="C2" s="1"/>
      <c r="D2" s="1"/>
      <c r="E2" s="1"/>
      <c r="F2" s="1"/>
      <c r="G2" s="1"/>
    </row>
    <row r="3" customFormat="false" ht="18" hidden="false" customHeight="true" outlineLevel="0" collapsed="false">
      <c r="A3" s="1"/>
      <c r="B3" s="1"/>
      <c r="C3" s="1"/>
      <c r="D3" s="1"/>
      <c r="E3" s="1"/>
      <c r="F3" s="1"/>
      <c r="G3" s="1"/>
    </row>
    <row r="4" customFormat="false" ht="15.75" hidden="false" customHeight="true" outlineLevel="0" collapsed="false">
      <c r="A4" s="2" t="s">
        <v>1</v>
      </c>
      <c r="B4" s="2"/>
      <c r="C4" s="2"/>
      <c r="D4" s="2"/>
      <c r="E4" s="2"/>
      <c r="F4" s="2"/>
      <c r="G4" s="2"/>
    </row>
    <row r="5" customFormat="false" ht="7.5" hidden="false" customHeight="true" outlineLevel="0" collapsed="false"/>
    <row r="6" customFormat="false" ht="19.5" hidden="false" customHeight="true" outlineLevel="0" collapsed="false">
      <c r="B6" s="3" t="s">
        <v>2</v>
      </c>
      <c r="C6" s="3"/>
      <c r="D6" s="3"/>
      <c r="E6" s="3"/>
      <c r="F6" s="3"/>
    </row>
    <row r="7" customFormat="false" ht="19.5" hidden="false" customHeight="true" outlineLevel="0" collapsed="false">
      <c r="B7" s="4" t="s">
        <v>3</v>
      </c>
      <c r="C7" s="5" t="s">
        <v>4</v>
      </c>
    </row>
    <row r="8" customFormat="false" ht="19.5" hidden="false" customHeight="true" outlineLevel="0" collapsed="false">
      <c r="B8" s="4" t="s">
        <v>5</v>
      </c>
      <c r="C8" s="6" t="n">
        <v>32277</v>
      </c>
    </row>
    <row r="9" customFormat="false" ht="19.5" hidden="false" customHeight="true" outlineLevel="0" collapsed="false">
      <c r="B9" s="4" t="s">
        <v>6</v>
      </c>
      <c r="C9" s="5" t="s">
        <v>7</v>
      </c>
    </row>
    <row r="10" customFormat="false" ht="19.5" hidden="false" customHeight="true" outlineLevel="0" collapsed="false">
      <c r="B10" s="4" t="s">
        <v>8</v>
      </c>
      <c r="C10" s="7" t="n">
        <v>178</v>
      </c>
    </row>
    <row r="11" customFormat="false" ht="19.5" hidden="false" customHeight="true" outlineLevel="0" collapsed="false">
      <c r="B11" s="4" t="s">
        <v>9</v>
      </c>
      <c r="C11" s="8" t="n">
        <v>89.5</v>
      </c>
    </row>
    <row r="12" customFormat="false" ht="19.5" hidden="false" customHeight="true" outlineLevel="0" collapsed="false">
      <c r="B12" s="4" t="s">
        <v>10</v>
      </c>
      <c r="C12" s="7" t="n">
        <v>80</v>
      </c>
    </row>
    <row r="13" customFormat="false" ht="19.5" hidden="false" customHeight="true" outlineLevel="0" collapsed="false">
      <c r="B13" s="4" t="s">
        <v>11</v>
      </c>
      <c r="C13" s="9" t="n">
        <v>46028</v>
      </c>
    </row>
    <row r="14" customFormat="false" ht="19.5" hidden="false" customHeight="true" outlineLevel="0" collapsed="false">
      <c r="B14" s="4" t="s">
        <v>12</v>
      </c>
      <c r="C14" s="6" t="n">
        <v>46387</v>
      </c>
    </row>
    <row r="15" customFormat="false" ht="7.5" hidden="false" customHeight="true" outlineLevel="0" collapsed="false"/>
    <row r="16" customFormat="false" ht="19.5" hidden="false" customHeight="true" outlineLevel="0" collapsed="false">
      <c r="B16" s="3" t="s">
        <v>13</v>
      </c>
      <c r="C16" s="3"/>
      <c r="D16" s="3"/>
      <c r="E16" s="3"/>
      <c r="F16" s="3"/>
    </row>
    <row r="17" customFormat="false" ht="19.5" hidden="false" customHeight="true" outlineLevel="0" collapsed="false">
      <c r="B17" s="4" t="s">
        <v>14</v>
      </c>
      <c r="C17" s="10" t="n">
        <f aca="true">_xlfn.SWITCH(1,1,INT((TODAY()-C8)/365.25))</f>
        <v>38</v>
      </c>
    </row>
    <row r="18" customFormat="false" ht="19.5" hidden="false" customHeight="true" outlineLevel="0" collapsed="false">
      <c r="B18" s="4" t="s">
        <v>15</v>
      </c>
      <c r="C18" s="11" t="n">
        <f aca="false">C12-C11</f>
        <v>-9.5</v>
      </c>
    </row>
    <row r="19" customFormat="false" ht="19.5" hidden="false" customHeight="true" outlineLevel="0" collapsed="false">
      <c r="B19" s="4" t="s">
        <v>16</v>
      </c>
      <c r="C19" s="10" t="n">
        <f aca="true">MAX(0,C14-TODAY())</f>
        <v>133</v>
      </c>
    </row>
    <row r="20" customFormat="false" ht="19.5" hidden="false" customHeight="true" outlineLevel="0" collapsed="false">
      <c r="B20" s="4" t="s">
        <v>17</v>
      </c>
      <c r="C20" s="12" t="n">
        <f aca="false">C11/((C10/100)^2)</f>
        <v>28.2476959979801</v>
      </c>
    </row>
    <row r="21" customFormat="false" ht="19.5" hidden="false" customHeight="true" outlineLevel="0" collapsed="false">
      <c r="B21" s="4" t="s">
        <v>18</v>
      </c>
      <c r="C21" s="13" t="n">
        <f aca="false">C12/((C10/100)^2)</f>
        <v>25.2493372048984</v>
      </c>
    </row>
    <row r="22" customFormat="false" ht="19.5" hidden="false" customHeight="true" outlineLevel="0" collapsed="false">
      <c r="B22" s="4" t="s">
        <v>19</v>
      </c>
      <c r="C22" s="14" t="str">
        <f aca="false">IFERROR(IF(C11/((C10/100)^2)&lt;18.5,"Untergewicht",IF(C11/((C10/100)^2)&lt;25,"Normalgewicht",IF(C11/((C10/100)^2)&lt;30,"Übergewicht","Adipositas"))),"—")</f>
        <v>Übergewicht</v>
      </c>
    </row>
    <row r="23" customFormat="false" ht="19.5" hidden="false" customHeight="true" outlineLevel="0" collapsed="false">
      <c r="B23" s="4" t="s">
        <v>20</v>
      </c>
      <c r="C23" s="15" t="n">
        <f aca="false">IFERROR((C12-C11)/(C19/7),"—")</f>
        <v>-0.5</v>
      </c>
    </row>
    <row r="24" customFormat="false" ht="7.5" hidden="false" customHeight="true" outlineLevel="0" collapsed="false"/>
    <row r="25" customFormat="false" ht="19.5" hidden="false" customHeight="true" outlineLevel="0" collapsed="false">
      <c r="B25" s="3" t="s">
        <v>21</v>
      </c>
      <c r="C25" s="3"/>
      <c r="D25" s="3"/>
      <c r="E25" s="3"/>
      <c r="F25" s="3"/>
    </row>
    <row r="26" customFormat="false" ht="18.75" hidden="false" customHeight="true" outlineLevel="0" collapsed="false">
      <c r="B26" s="16" t="s">
        <v>22</v>
      </c>
      <c r="C26" s="16"/>
      <c r="D26" s="16"/>
      <c r="E26" s="17" t="s">
        <v>23</v>
      </c>
      <c r="F26" s="17"/>
    </row>
    <row r="27" customFormat="false" ht="18.75" hidden="false" customHeight="true" outlineLevel="0" collapsed="false">
      <c r="B27" s="18" t="s">
        <v>24</v>
      </c>
      <c r="C27" s="18"/>
      <c r="D27" s="18"/>
      <c r="E27" s="19" t="s">
        <v>25</v>
      </c>
      <c r="F27" s="19"/>
    </row>
    <row r="28" customFormat="false" ht="18.75" hidden="false" customHeight="true" outlineLevel="0" collapsed="false">
      <c r="B28" s="20" t="s">
        <v>26</v>
      </c>
      <c r="C28" s="20"/>
      <c r="D28" s="20"/>
      <c r="E28" s="21" t="s">
        <v>27</v>
      </c>
      <c r="F28" s="21"/>
    </row>
    <row r="29" customFormat="false" ht="18.75" hidden="false" customHeight="true" outlineLevel="0" collapsed="false">
      <c r="B29" s="22" t="s">
        <v>28</v>
      </c>
      <c r="C29" s="22"/>
      <c r="D29" s="22"/>
      <c r="E29" s="23" t="s">
        <v>29</v>
      </c>
      <c r="F29" s="23"/>
    </row>
    <row r="30" customFormat="false" ht="18.75" hidden="false" customHeight="true" outlineLevel="0" collapsed="false">
      <c r="B30" s="24" t="s">
        <v>30</v>
      </c>
      <c r="C30" s="24"/>
      <c r="D30" s="24"/>
      <c r="E30" s="25" t="s">
        <v>31</v>
      </c>
      <c r="F30" s="25"/>
    </row>
    <row r="31" customFormat="false" ht="18.75" hidden="false" customHeight="true" outlineLevel="0" collapsed="false">
      <c r="B31" s="26" t="s">
        <v>32</v>
      </c>
      <c r="C31" s="26"/>
      <c r="D31" s="26"/>
      <c r="E31" s="27" t="s">
        <v>33</v>
      </c>
      <c r="F31" s="27"/>
    </row>
    <row r="32" customFormat="false" ht="18" hidden="false" customHeight="true" outlineLevel="0" collapsed="false"/>
    <row r="33" customFormat="false" ht="7.5" hidden="false" customHeight="true" outlineLevel="0" collapsed="false"/>
    <row r="34" customFormat="false" ht="19.5" hidden="false" customHeight="true" outlineLevel="0" collapsed="false">
      <c r="B34" s="3" t="s">
        <v>34</v>
      </c>
      <c r="C34" s="3"/>
      <c r="D34" s="3"/>
      <c r="E34" s="3"/>
      <c r="F34" s="3"/>
    </row>
    <row r="35" customFormat="false" ht="18" hidden="false" customHeight="true" outlineLevel="0" collapsed="false">
      <c r="B35" s="28" t="s">
        <v>35</v>
      </c>
      <c r="C35" s="28"/>
      <c r="D35" s="28"/>
      <c r="E35" s="28"/>
      <c r="F35" s="28"/>
    </row>
    <row r="36" customFormat="false" ht="18" hidden="false" customHeight="true" outlineLevel="0" collapsed="false">
      <c r="B36" s="28" t="s">
        <v>36</v>
      </c>
      <c r="C36" s="28"/>
      <c r="D36" s="28"/>
      <c r="E36" s="28"/>
      <c r="F36" s="28"/>
    </row>
    <row r="37" customFormat="false" ht="18" hidden="false" customHeight="true" outlineLevel="0" collapsed="false">
      <c r="B37" s="28" t="s">
        <v>37</v>
      </c>
      <c r="C37" s="28"/>
      <c r="D37" s="28"/>
      <c r="E37" s="28"/>
      <c r="F37" s="28"/>
    </row>
    <row r="38" customFormat="false" ht="18" hidden="false" customHeight="true" outlineLevel="0" collapsed="false">
      <c r="B38" s="28" t="s">
        <v>38</v>
      </c>
      <c r="C38" s="28"/>
      <c r="D38" s="28"/>
      <c r="E38" s="28"/>
      <c r="F38" s="28"/>
    </row>
    <row r="39" customFormat="false" ht="18" hidden="false" customHeight="true" outlineLevel="0" collapsed="false">
      <c r="B39" s="28" t="s">
        <v>39</v>
      </c>
      <c r="C39" s="28"/>
      <c r="D39" s="28"/>
      <c r="E39" s="28"/>
      <c r="F39" s="28"/>
    </row>
    <row r="40" customFormat="false" ht="18" hidden="false" customHeight="true" outlineLevel="0" collapsed="false"/>
    <row r="41" customFormat="false" ht="18" hidden="false" customHeight="true" outlineLevel="0" collapsed="false"/>
    <row r="42" customFormat="false" ht="18" hidden="false" customHeight="true" outlineLevel="0" collapsed="false"/>
    <row r="43" customFormat="false" ht="18" hidden="false" customHeight="true" outlineLevel="0" collapsed="false"/>
    <row r="44" customFormat="false" ht="18" hidden="false" customHeight="true" outlineLevel="0" collapsed="false"/>
    <row r="45" customFormat="false" ht="18" hidden="false" customHeight="true" outlineLevel="0" collapsed="false"/>
    <row r="46" customFormat="false" ht="18" hidden="false" customHeight="true" outlineLevel="0" collapsed="false"/>
    <row r="47" customFormat="false" ht="18" hidden="false" customHeight="true" outlineLevel="0" collapsed="false"/>
    <row r="48" customFormat="false" ht="18" hidden="false" customHeight="true" outlineLevel="0" collapsed="false"/>
    <row r="49" customFormat="false" ht="18" hidden="false" customHeight="true" outlineLevel="0" collapsed="false"/>
    <row r="50" customFormat="false" ht="18" hidden="false" customHeight="true" outlineLevel="0" collapsed="false"/>
    <row r="51" customFormat="false" ht="18" hidden="false" customHeight="true" outlineLevel="0" collapsed="false"/>
    <row r="52" customFormat="false" ht="18" hidden="false" customHeight="true" outlineLevel="0" collapsed="false"/>
    <row r="53" customFormat="false" ht="18" hidden="false" customHeight="true" outlineLevel="0" collapsed="false"/>
    <row r="54" customFormat="false" ht="18" hidden="false" customHeight="true" outlineLevel="0" collapsed="false"/>
  </sheetData>
  <mergeCells count="23">
    <mergeCell ref="A1:G3"/>
    <mergeCell ref="A4:G4"/>
    <mergeCell ref="B6:F6"/>
    <mergeCell ref="B16:F16"/>
    <mergeCell ref="B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4:F34"/>
    <mergeCell ref="B35:F35"/>
    <mergeCell ref="B36:F36"/>
    <mergeCell ref="B37:F37"/>
    <mergeCell ref="B38:F38"/>
    <mergeCell ref="B39:F39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A6FA5"/>
    <pageSetUpPr fitToPage="false"/>
  </sheetPr>
  <dimension ref="A1:L5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6" topLeftCell="D7" activePane="bottomRight" state="frozen"/>
      <selection pane="topLeft" activeCell="A1" activeCellId="0" sqref="A1"/>
      <selection pane="topRight" activeCell="D1" activeCellId="0" sqref="D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5"/>
    <col collapsed="false" customWidth="true" hidden="false" outlineLevel="0" max="3" min="3" style="0" width="14"/>
    <col collapsed="false" customWidth="true" hidden="false" outlineLevel="0" max="6" min="4" style="0" width="12"/>
    <col collapsed="false" customWidth="true" hidden="false" outlineLevel="0" max="10" min="7" style="0" width="14"/>
    <col collapsed="false" customWidth="true" hidden="false" outlineLevel="0" max="11" min="11" style="0" width="18"/>
    <col collapsed="false" customWidth="true" hidden="false" outlineLevel="0" max="12" min="12" style="0" width="2"/>
  </cols>
  <sheetData>
    <row r="1" customFormat="false" ht="25.5" hidden="false" customHeight="true" outlineLevel="0" collapsed="false">
      <c r="A1" s="29" t="s">
        <v>40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customFormat="false" ht="15" hidden="false" customHeight="false" outlineLevel="0" collapsed="false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customFormat="false" ht="15" hidden="false" customHeight="false" outlineLevel="0" collapsed="false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customFormat="false" ht="15" hidden="false" customHeight="true" outlineLevel="0" collapsed="false">
      <c r="A4" s="30" t="s">
        <v>41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customFormat="false" ht="7.5" hidden="false" customHeight="true" outlineLevel="0" collapsed="false"/>
    <row r="6" customFormat="false" ht="31.5" hidden="false" customHeight="true" outlineLevel="0" collapsed="false">
      <c r="B6" s="31" t="s">
        <v>42</v>
      </c>
      <c r="C6" s="31" t="s">
        <v>43</v>
      </c>
      <c r="D6" s="31" t="s">
        <v>44</v>
      </c>
      <c r="E6" s="31" t="s">
        <v>45</v>
      </c>
      <c r="F6" s="31" t="s">
        <v>46</v>
      </c>
      <c r="G6" s="31" t="s">
        <v>47</v>
      </c>
      <c r="H6" s="31" t="s">
        <v>48</v>
      </c>
      <c r="I6" s="31" t="s">
        <v>49</v>
      </c>
      <c r="J6" s="31" t="s">
        <v>50</v>
      </c>
      <c r="K6" s="31" t="s">
        <v>51</v>
      </c>
    </row>
    <row r="7" customFormat="false" ht="18.75" hidden="false" customHeight="true" outlineLevel="0" collapsed="false">
      <c r="B7" s="32" t="n">
        <v>1</v>
      </c>
      <c r="C7" s="33" t="n">
        <v>46027</v>
      </c>
      <c r="D7" s="34" t="n">
        <v>89.5</v>
      </c>
      <c r="E7" s="35" t="s">
        <v>52</v>
      </c>
      <c r="F7" s="36" t="s">
        <v>52</v>
      </c>
      <c r="G7" s="37" t="n">
        <f aca="false">IFERROR(D7/((Profil!C10/100)^2),"")</f>
        <v>28.2476959979801</v>
      </c>
      <c r="H7" s="38" t="n">
        <v>98</v>
      </c>
      <c r="I7" s="38" t="n">
        <v>104</v>
      </c>
      <c r="J7" s="38" t="n">
        <v>4</v>
      </c>
      <c r="K7" s="39" t="s">
        <v>53</v>
      </c>
    </row>
    <row r="8" customFormat="false" ht="18.75" hidden="false" customHeight="true" outlineLevel="0" collapsed="false">
      <c r="B8" s="40" t="n">
        <v>2</v>
      </c>
      <c r="C8" s="41" t="n">
        <v>46034</v>
      </c>
      <c r="D8" s="42" t="n">
        <v>89</v>
      </c>
      <c r="E8" s="43" t="n">
        <f aca="false">IFERROR(D8-D7,"")</f>
        <v>-0.5</v>
      </c>
      <c r="F8" s="44" t="n">
        <f aca="false">IFERROR(D8-D7,"")</f>
        <v>-0.5</v>
      </c>
      <c r="G8" s="45" t="n">
        <f aca="false">IFERROR(D8/((Profil!C10/100)^2),"")</f>
        <v>28.0898876404494</v>
      </c>
      <c r="H8" s="46" t="n">
        <v>97</v>
      </c>
      <c r="I8" s="46" t="n">
        <v>103</v>
      </c>
      <c r="J8" s="46" t="n">
        <v>3</v>
      </c>
      <c r="K8" s="47" t="s">
        <v>54</v>
      </c>
    </row>
    <row r="9" customFormat="false" ht="18.75" hidden="false" customHeight="true" outlineLevel="0" collapsed="false">
      <c r="B9" s="32" t="n">
        <v>3</v>
      </c>
      <c r="C9" s="33" t="n">
        <v>46041</v>
      </c>
      <c r="D9" s="34" t="n">
        <v>88.6</v>
      </c>
      <c r="E9" s="48" t="n">
        <f aca="false">IFERROR(D9-D8,"")</f>
        <v>-0.400000000000006</v>
      </c>
      <c r="F9" s="36" t="n">
        <f aca="false">IFERROR(D9-D7,"")</f>
        <v>-0.900000000000006</v>
      </c>
      <c r="G9" s="37" t="n">
        <f aca="false">IFERROR(D9/((Profil!C10/100)^2),"")</f>
        <v>27.9636409544249</v>
      </c>
      <c r="H9" s="38" t="n">
        <v>97</v>
      </c>
      <c r="I9" s="38" t="n">
        <v>103</v>
      </c>
      <c r="J9" s="38" t="n">
        <v>5</v>
      </c>
      <c r="K9" s="39" t="s">
        <v>55</v>
      </c>
    </row>
    <row r="10" customFormat="false" ht="18.75" hidden="false" customHeight="true" outlineLevel="0" collapsed="false">
      <c r="B10" s="40" t="n">
        <v>4</v>
      </c>
      <c r="C10" s="41" t="n">
        <v>46048</v>
      </c>
      <c r="D10" s="42" t="n">
        <v>88.8</v>
      </c>
      <c r="E10" s="43" t="n">
        <f aca="false">IFERROR(D10-D9,"")</f>
        <v>0.200000000000003</v>
      </c>
      <c r="F10" s="44" t="n">
        <f aca="false">IFERROR(D10-D7,"")</f>
        <v>-0.700000000000003</v>
      </c>
      <c r="G10" s="45" t="n">
        <f aca="false">IFERROR(D10/((Profil!C10/100)^2),"")</f>
        <v>28.0267642974372</v>
      </c>
      <c r="H10" s="46" t="n">
        <v>96</v>
      </c>
      <c r="I10" s="46" t="n">
        <v>102</v>
      </c>
      <c r="J10" s="46" t="n">
        <v>4</v>
      </c>
      <c r="K10" s="47"/>
    </row>
    <row r="11" customFormat="false" ht="18.75" hidden="false" customHeight="true" outlineLevel="0" collapsed="false">
      <c r="B11" s="32" t="n">
        <v>5</v>
      </c>
      <c r="C11" s="33" t="n">
        <v>46055</v>
      </c>
      <c r="D11" s="34" t="n">
        <v>88.2</v>
      </c>
      <c r="E11" s="48" t="n">
        <f aca="false">IFERROR(D11-D10,"")</f>
        <v>-0.599999999999994</v>
      </c>
      <c r="F11" s="36" t="n">
        <f aca="false">IFERROR(D11-D7,"")</f>
        <v>-1.3</v>
      </c>
      <c r="G11" s="37" t="n">
        <f aca="false">IFERROR(D11/((Profil!C10/100)^2),"")</f>
        <v>27.8373942684005</v>
      </c>
      <c r="H11" s="38" t="n">
        <v>96</v>
      </c>
      <c r="I11" s="38" t="n">
        <v>102</v>
      </c>
      <c r="J11" s="38" t="n">
        <v>5</v>
      </c>
      <c r="K11" s="39" t="s">
        <v>56</v>
      </c>
    </row>
    <row r="12" customFormat="false" ht="18.75" hidden="false" customHeight="true" outlineLevel="0" collapsed="false">
      <c r="B12" s="40" t="n">
        <v>6</v>
      </c>
      <c r="C12" s="41" t="n">
        <v>46062</v>
      </c>
      <c r="D12" s="42" t="n">
        <v>87.9</v>
      </c>
      <c r="E12" s="43" t="n">
        <f aca="false">IFERROR(D12-D11,"")</f>
        <v>-0.299999999999997</v>
      </c>
      <c r="F12" s="44" t="n">
        <f aca="false">IFERROR(D12-D7,"")</f>
        <v>-1.59999999999999</v>
      </c>
      <c r="G12" s="45" t="n">
        <f aca="false">IFERROR(D12/((Profil!C10/100)^2),"")</f>
        <v>27.7427092538821</v>
      </c>
      <c r="H12" s="46" t="n">
        <v>95</v>
      </c>
      <c r="I12" s="46" t="n">
        <v>101</v>
      </c>
      <c r="J12" s="46" t="n">
        <v>6</v>
      </c>
      <c r="K12" s="47" t="s">
        <v>57</v>
      </c>
    </row>
    <row r="13" customFormat="false" ht="18.75" hidden="false" customHeight="true" outlineLevel="0" collapsed="false">
      <c r="B13" s="32" t="n">
        <v>7</v>
      </c>
      <c r="C13" s="33" t="n">
        <v>46069</v>
      </c>
      <c r="D13" s="34" t="n">
        <v>87.5</v>
      </c>
      <c r="E13" s="48" t="n">
        <f aca="false">IFERROR(D13-D12,"")</f>
        <v>-0.400000000000006</v>
      </c>
      <c r="F13" s="36" t="n">
        <f aca="false">IFERROR(D13-D7,"")</f>
        <v>-2</v>
      </c>
      <c r="G13" s="37" t="n">
        <f aca="false">IFERROR(D13/((Profil!C10/100)^2),"")</f>
        <v>27.6164625678576</v>
      </c>
      <c r="H13" s="38" t="n">
        <v>95</v>
      </c>
      <c r="I13" s="38" t="n">
        <v>101</v>
      </c>
      <c r="J13" s="38" t="n">
        <v>4</v>
      </c>
      <c r="K13" s="39"/>
    </row>
    <row r="14" customFormat="false" ht="18.75" hidden="false" customHeight="true" outlineLevel="0" collapsed="false">
      <c r="B14" s="40" t="n">
        <v>8</v>
      </c>
      <c r="C14" s="41" t="n">
        <v>46076</v>
      </c>
      <c r="D14" s="42" t="n">
        <v>87.8</v>
      </c>
      <c r="E14" s="43" t="n">
        <f aca="false">IFERROR(D14-D13,"")</f>
        <v>0.299999999999997</v>
      </c>
      <c r="F14" s="44" t="n">
        <f aca="false">IFERROR(D14-D7,"")</f>
        <v>-1.7</v>
      </c>
      <c r="G14" s="45" t="n">
        <f aca="false">IFERROR(D14/((Profil!C10/100)^2),"")</f>
        <v>27.711147582376</v>
      </c>
      <c r="H14" s="46" t="n">
        <v>95</v>
      </c>
      <c r="I14" s="46" t="n">
        <v>101</v>
      </c>
      <c r="J14" s="46" t="n">
        <v>3</v>
      </c>
      <c r="K14" s="47" t="s">
        <v>58</v>
      </c>
    </row>
    <row r="15" customFormat="false" ht="18.75" hidden="false" customHeight="true" outlineLevel="0" collapsed="false">
      <c r="B15" s="32" t="n">
        <v>9</v>
      </c>
      <c r="C15" s="33" t="n">
        <v>46083</v>
      </c>
      <c r="D15" s="34" t="n">
        <v>87.2</v>
      </c>
      <c r="E15" s="48" t="n">
        <f aca="false">IFERROR(D15-D14,"")</f>
        <v>-0.599999999999994</v>
      </c>
      <c r="F15" s="36" t="n">
        <f aca="false">IFERROR(D15-D7,"")</f>
        <v>-2.3</v>
      </c>
      <c r="G15" s="37" t="n">
        <f aca="false">IFERROR(D15/((Profil!C10/100)^2),"")</f>
        <v>27.5217775533392</v>
      </c>
      <c r="H15" s="38" t="n">
        <v>94</v>
      </c>
      <c r="I15" s="38" t="n">
        <v>100</v>
      </c>
      <c r="J15" s="38" t="n">
        <v>5</v>
      </c>
      <c r="K15" s="39"/>
    </row>
    <row r="16" customFormat="false" ht="18.75" hidden="false" customHeight="true" outlineLevel="0" collapsed="false">
      <c r="B16" s="40" t="n">
        <v>10</v>
      </c>
      <c r="C16" s="41" t="n">
        <v>46090</v>
      </c>
      <c r="D16" s="42" t="n">
        <v>86.9</v>
      </c>
      <c r="E16" s="43" t="n">
        <f aca="false">IFERROR(D16-D15,"")</f>
        <v>-0.299999999999997</v>
      </c>
      <c r="F16" s="44" t="n">
        <f aca="false">IFERROR(D16-D7,"")</f>
        <v>-2.59999999999999</v>
      </c>
      <c r="G16" s="45" t="n">
        <f aca="false">IFERROR(D16/((Profil!C10/100)^2),"")</f>
        <v>27.4270925388209</v>
      </c>
      <c r="H16" s="46" t="n">
        <v>94</v>
      </c>
      <c r="I16" s="46" t="n">
        <v>100</v>
      </c>
      <c r="J16" s="46" t="n">
        <v>5</v>
      </c>
      <c r="K16" s="47" t="s">
        <v>59</v>
      </c>
    </row>
    <row r="17" customFormat="false" ht="18.75" hidden="false" customHeight="true" outlineLevel="0" collapsed="false">
      <c r="B17" s="32" t="n">
        <v>11</v>
      </c>
      <c r="C17" s="33" t="n">
        <v>46097</v>
      </c>
      <c r="D17" s="34" t="n">
        <v>86.5</v>
      </c>
      <c r="E17" s="48" t="n">
        <f aca="false">IFERROR(D17-D16,"")</f>
        <v>-0.400000000000006</v>
      </c>
      <c r="F17" s="36" t="n">
        <f aca="false">IFERROR(D17-D7,"")</f>
        <v>-3</v>
      </c>
      <c r="G17" s="37" t="n">
        <f aca="false">IFERROR(D17/((Profil!C10/100)^2),"")</f>
        <v>27.3008458527964</v>
      </c>
      <c r="H17" s="38" t="n">
        <v>93</v>
      </c>
      <c r="I17" s="38" t="n">
        <v>99</v>
      </c>
      <c r="J17" s="38" t="n">
        <v>4</v>
      </c>
      <c r="K17" s="39" t="s">
        <v>60</v>
      </c>
    </row>
    <row r="18" customFormat="false" ht="18.75" hidden="false" customHeight="true" outlineLevel="0" collapsed="false">
      <c r="B18" s="40" t="n">
        <v>12</v>
      </c>
      <c r="C18" s="41" t="n">
        <v>46104</v>
      </c>
      <c r="D18" s="42" t="n">
        <v>86.7</v>
      </c>
      <c r="E18" s="43" t="n">
        <f aca="false">IFERROR(D18-D17,"")</f>
        <v>0.200000000000003</v>
      </c>
      <c r="F18" s="44" t="n">
        <f aca="false">IFERROR(D18-D7,"")</f>
        <v>-2.8</v>
      </c>
      <c r="G18" s="45" t="n">
        <f aca="false">IFERROR(D18/((Profil!C10/100)^2),"")</f>
        <v>27.3639691958086</v>
      </c>
      <c r="H18" s="46" t="n">
        <v>93</v>
      </c>
      <c r="I18" s="46" t="n">
        <v>99</v>
      </c>
      <c r="J18" s="46" t="n">
        <v>6</v>
      </c>
      <c r="K18" s="47"/>
    </row>
    <row r="19" customFormat="false" ht="18.75" hidden="false" customHeight="true" outlineLevel="0" collapsed="false">
      <c r="B19" s="32" t="n">
        <v>13</v>
      </c>
      <c r="C19" s="33" t="n">
        <v>46111</v>
      </c>
      <c r="D19" s="34" t="n">
        <v>86.1</v>
      </c>
      <c r="E19" s="48" t="n">
        <f aca="false">IFERROR(D19-D18,"")</f>
        <v>-0.600000000000009</v>
      </c>
      <c r="F19" s="36" t="n">
        <f aca="false">IFERROR(D19-D7,"")</f>
        <v>-3.40000000000001</v>
      </c>
      <c r="G19" s="37" t="n">
        <f aca="false">IFERROR(D19/((Profil!C10/100)^2),"")</f>
        <v>27.1745991667719</v>
      </c>
      <c r="H19" s="38" t="n">
        <v>92</v>
      </c>
      <c r="I19" s="38" t="n">
        <v>98</v>
      </c>
      <c r="J19" s="38" t="n">
        <v>5</v>
      </c>
      <c r="K19" s="39" t="s">
        <v>61</v>
      </c>
    </row>
    <row r="20" customFormat="false" ht="18.75" hidden="false" customHeight="true" outlineLevel="0" collapsed="false">
      <c r="B20" s="40" t="n">
        <v>14</v>
      </c>
      <c r="C20" s="41" t="n">
        <v>46118</v>
      </c>
      <c r="D20" s="42" t="n">
        <v>85.8</v>
      </c>
      <c r="E20" s="43" t="n">
        <f aca="false">IFERROR(D20-D19,"")</f>
        <v>-0.299999999999997</v>
      </c>
      <c r="F20" s="44" t="n">
        <f aca="false">IFERROR(D20-D7,"")</f>
        <v>-3.7</v>
      </c>
      <c r="G20" s="45" t="n">
        <f aca="false">IFERROR(D20/((Profil!C10/100)^2),"")</f>
        <v>27.0799141522535</v>
      </c>
      <c r="H20" s="46" t="n">
        <v>92</v>
      </c>
      <c r="I20" s="46" t="n">
        <v>98</v>
      </c>
      <c r="J20" s="46" t="n">
        <v>4</v>
      </c>
      <c r="K20" s="47"/>
    </row>
    <row r="21" customFormat="false" ht="18.75" hidden="false" customHeight="true" outlineLevel="0" collapsed="false">
      <c r="B21" s="32" t="n">
        <v>15</v>
      </c>
      <c r="C21" s="33" t="n">
        <v>46125</v>
      </c>
      <c r="D21" s="34" t="n">
        <v>85.5</v>
      </c>
      <c r="E21" s="48" t="n">
        <f aca="false">IFERROR(D21-D20,"")</f>
        <v>-0.299999999999997</v>
      </c>
      <c r="F21" s="36" t="n">
        <f aca="false">IFERROR(D21-D7,"")</f>
        <v>-4</v>
      </c>
      <c r="G21" s="37" t="n">
        <f aca="false">IFERROR(D21/((Profil!C10/100)^2),"")</f>
        <v>26.9852291377351</v>
      </c>
      <c r="H21" s="38" t="n">
        <v>91</v>
      </c>
      <c r="I21" s="38" t="n">
        <v>97</v>
      </c>
      <c r="J21" s="38" t="n">
        <v>5</v>
      </c>
      <c r="K21" s="39" t="s">
        <v>62</v>
      </c>
    </row>
    <row r="22" customFormat="false" ht="18.75" hidden="false" customHeight="true" outlineLevel="0" collapsed="false">
      <c r="B22" s="40" t="n">
        <v>16</v>
      </c>
      <c r="C22" s="41" t="n">
        <v>46132</v>
      </c>
      <c r="D22" s="42" t="n">
        <v>85.9</v>
      </c>
      <c r="E22" s="43" t="n">
        <f aca="false">IFERROR(D22-D21,"")</f>
        <v>0.400000000000006</v>
      </c>
      <c r="F22" s="44" t="n">
        <f aca="false">IFERROR(D22-D7,"")</f>
        <v>-3.59999999999999</v>
      </c>
      <c r="G22" s="45" t="n">
        <f aca="false">IFERROR(D22/((Profil!C10/100)^2),"")</f>
        <v>27.1114758237596</v>
      </c>
      <c r="H22" s="46" t="n">
        <v>91</v>
      </c>
      <c r="I22" s="46" t="n">
        <v>97</v>
      </c>
      <c r="J22" s="46" t="n">
        <v>3</v>
      </c>
      <c r="K22" s="47"/>
    </row>
    <row r="23" customFormat="false" ht="18.75" hidden="false" customHeight="true" outlineLevel="0" collapsed="false">
      <c r="B23" s="32" t="n">
        <v>17</v>
      </c>
      <c r="C23" s="33" t="n">
        <v>46139</v>
      </c>
      <c r="D23" s="34" t="n">
        <v>85.3</v>
      </c>
      <c r="E23" s="48" t="n">
        <f aca="false">IFERROR(D23-D22,"")</f>
        <v>-0.600000000000009</v>
      </c>
      <c r="F23" s="36" t="n">
        <f aca="false">IFERROR(D23-D7,"")</f>
        <v>-4.2</v>
      </c>
      <c r="G23" s="37" t="n">
        <f aca="false">IFERROR(D23/((Profil!C10/100)^2),"")</f>
        <v>26.9221057947229</v>
      </c>
      <c r="H23" s="38" t="n">
        <v>90</v>
      </c>
      <c r="I23" s="38" t="n">
        <v>96</v>
      </c>
      <c r="J23" s="38" t="n">
        <v>6</v>
      </c>
      <c r="K23" s="39" t="s">
        <v>63</v>
      </c>
    </row>
    <row r="24" customFormat="false" ht="18.75" hidden="false" customHeight="true" outlineLevel="0" collapsed="false">
      <c r="B24" s="40" t="n">
        <v>18</v>
      </c>
      <c r="C24" s="41" t="n">
        <v>46146</v>
      </c>
      <c r="D24" s="42" t="n">
        <v>84.9</v>
      </c>
      <c r="E24" s="43" t="n">
        <f aca="false">IFERROR(D24-D23,"")</f>
        <v>-0.399999999999992</v>
      </c>
      <c r="F24" s="44" t="n">
        <f aca="false">IFERROR(D24-D7,"")</f>
        <v>-4.59999999999999</v>
      </c>
      <c r="G24" s="45" t="n">
        <f aca="false">IFERROR(D24/((Profil!C10/100)^2),"")</f>
        <v>26.7958591086984</v>
      </c>
      <c r="H24" s="46" t="n">
        <v>90</v>
      </c>
      <c r="I24" s="46" t="n">
        <v>96</v>
      </c>
      <c r="J24" s="46" t="n">
        <v>5</v>
      </c>
      <c r="K24" s="47"/>
    </row>
    <row r="25" customFormat="false" ht="18.75" hidden="false" customHeight="true" outlineLevel="0" collapsed="false">
      <c r="B25" s="32" t="n">
        <v>19</v>
      </c>
      <c r="C25" s="33" t="n">
        <v>46153</v>
      </c>
      <c r="D25" s="34" t="n">
        <v>84.6</v>
      </c>
      <c r="E25" s="48" t="n">
        <f aca="false">IFERROR(D25-D24,"")</f>
        <v>-0.300000000000011</v>
      </c>
      <c r="F25" s="36" t="n">
        <f aca="false">IFERROR(D25-D7,"")</f>
        <v>-4.90000000000001</v>
      </c>
      <c r="G25" s="37" t="n">
        <f aca="false">IFERROR(D25/((Profil!C10/100)^2),"")</f>
        <v>26.70117409418</v>
      </c>
      <c r="H25" s="38" t="n">
        <v>89</v>
      </c>
      <c r="I25" s="38" t="n">
        <v>95</v>
      </c>
      <c r="J25" s="38" t="n">
        <v>4</v>
      </c>
      <c r="K25" s="39" t="s">
        <v>64</v>
      </c>
    </row>
    <row r="26" customFormat="false" ht="18.75" hidden="false" customHeight="true" outlineLevel="0" collapsed="false">
      <c r="B26" s="40" t="n">
        <v>20</v>
      </c>
      <c r="C26" s="41" t="n">
        <v>46160</v>
      </c>
      <c r="D26" s="42" t="n">
        <v>84.2</v>
      </c>
      <c r="E26" s="43" t="n">
        <f aca="false">IFERROR(D26-D25,"")</f>
        <v>-0.399999999999992</v>
      </c>
      <c r="F26" s="44" t="n">
        <f aca="false">IFERROR(D26-D7,"")</f>
        <v>-5.3</v>
      </c>
      <c r="G26" s="45" t="n">
        <f aca="false">IFERROR(D26/((Profil!C10/100)^2),"")</f>
        <v>26.5749274081555</v>
      </c>
      <c r="H26" s="46" t="n">
        <v>89</v>
      </c>
      <c r="I26" s="46" t="n">
        <v>95</v>
      </c>
      <c r="J26" s="46" t="n">
        <v>5</v>
      </c>
      <c r="K26" s="47" t="s">
        <v>65</v>
      </c>
    </row>
    <row r="27" customFormat="false" ht="18.75" hidden="false" customHeight="true" outlineLevel="0" collapsed="false">
      <c r="B27" s="32" t="n">
        <v>21</v>
      </c>
      <c r="C27" s="33" t="n">
        <v>46167</v>
      </c>
      <c r="D27" s="49"/>
      <c r="E27" s="48" t="n">
        <f aca="false">IFERROR(D27-D26,"")</f>
        <v>-84.2</v>
      </c>
      <c r="F27" s="36" t="n">
        <f aca="false">IFERROR(D27-D7,"")</f>
        <v>-89.5</v>
      </c>
      <c r="G27" s="37" t="n">
        <f aca="false">IFERROR(D27/((Profil!C10/100)^2),"")</f>
        <v>0</v>
      </c>
      <c r="H27" s="50"/>
      <c r="I27" s="50"/>
      <c r="J27" s="50"/>
      <c r="K27" s="51"/>
    </row>
    <row r="28" customFormat="false" ht="18.75" hidden="false" customHeight="true" outlineLevel="0" collapsed="false">
      <c r="B28" s="40" t="n">
        <v>22</v>
      </c>
      <c r="C28" s="41" t="n">
        <v>46174</v>
      </c>
      <c r="D28" s="49"/>
      <c r="E28" s="43" t="n">
        <f aca="false">IFERROR(D28-D27,"")</f>
        <v>0</v>
      </c>
      <c r="F28" s="44" t="n">
        <f aca="false">IFERROR(D28-D7,"")</f>
        <v>-89.5</v>
      </c>
      <c r="G28" s="45" t="n">
        <f aca="false">IFERROR(D28/((Profil!C10/100)^2),"")</f>
        <v>0</v>
      </c>
      <c r="H28" s="50"/>
      <c r="I28" s="50"/>
      <c r="J28" s="50"/>
      <c r="K28" s="51"/>
    </row>
    <row r="29" customFormat="false" ht="18.75" hidden="false" customHeight="true" outlineLevel="0" collapsed="false">
      <c r="B29" s="32" t="n">
        <v>23</v>
      </c>
      <c r="C29" s="33" t="n">
        <v>46181</v>
      </c>
      <c r="D29" s="49"/>
      <c r="E29" s="48" t="n">
        <f aca="false">IFERROR(D29-D28,"")</f>
        <v>0</v>
      </c>
      <c r="F29" s="36" t="n">
        <f aca="false">IFERROR(D29-D7,"")</f>
        <v>-89.5</v>
      </c>
      <c r="G29" s="37" t="n">
        <f aca="false">IFERROR(D29/((Profil!C10/100)^2),"")</f>
        <v>0</v>
      </c>
      <c r="H29" s="50"/>
      <c r="I29" s="50"/>
      <c r="J29" s="50"/>
      <c r="K29" s="51"/>
    </row>
    <row r="30" customFormat="false" ht="18.75" hidden="false" customHeight="true" outlineLevel="0" collapsed="false">
      <c r="B30" s="40" t="n">
        <v>24</v>
      </c>
      <c r="C30" s="41" t="n">
        <v>46188</v>
      </c>
      <c r="D30" s="49"/>
      <c r="E30" s="43" t="n">
        <f aca="false">IFERROR(D30-D29,"")</f>
        <v>0</v>
      </c>
      <c r="F30" s="44" t="n">
        <f aca="false">IFERROR(D30-D7,"")</f>
        <v>-89.5</v>
      </c>
      <c r="G30" s="45" t="n">
        <f aca="false">IFERROR(D30/((Profil!C10/100)^2),"")</f>
        <v>0</v>
      </c>
      <c r="H30" s="50"/>
      <c r="I30" s="50"/>
      <c r="J30" s="50"/>
      <c r="K30" s="51"/>
    </row>
    <row r="31" customFormat="false" ht="18.75" hidden="false" customHeight="true" outlineLevel="0" collapsed="false">
      <c r="B31" s="32" t="n">
        <v>25</v>
      </c>
      <c r="C31" s="33" t="n">
        <v>46195</v>
      </c>
      <c r="D31" s="49"/>
      <c r="E31" s="48" t="n">
        <f aca="false">IFERROR(D31-D30,"")</f>
        <v>0</v>
      </c>
      <c r="F31" s="36" t="n">
        <f aca="false">IFERROR(D31-D7,"")</f>
        <v>-89.5</v>
      </c>
      <c r="G31" s="37" t="n">
        <f aca="false">IFERROR(D31/((Profil!C10/100)^2),"")</f>
        <v>0</v>
      </c>
      <c r="H31" s="50"/>
      <c r="I31" s="50"/>
      <c r="J31" s="50"/>
      <c r="K31" s="51"/>
    </row>
    <row r="32" customFormat="false" ht="18.75" hidden="false" customHeight="true" outlineLevel="0" collapsed="false">
      <c r="B32" s="40" t="n">
        <v>26</v>
      </c>
      <c r="C32" s="41" t="n">
        <v>46202</v>
      </c>
      <c r="D32" s="49"/>
      <c r="E32" s="43" t="n">
        <f aca="false">IFERROR(D32-D31,"")</f>
        <v>0</v>
      </c>
      <c r="F32" s="44" t="n">
        <f aca="false">IFERROR(D32-D7,"")</f>
        <v>-89.5</v>
      </c>
      <c r="G32" s="45" t="n">
        <f aca="false">IFERROR(D32/((Profil!C10/100)^2),"")</f>
        <v>0</v>
      </c>
      <c r="H32" s="50"/>
      <c r="I32" s="50"/>
      <c r="J32" s="50"/>
      <c r="K32" s="51"/>
    </row>
    <row r="33" customFormat="false" ht="18.75" hidden="false" customHeight="true" outlineLevel="0" collapsed="false">
      <c r="B33" s="32" t="n">
        <v>27</v>
      </c>
      <c r="C33" s="33" t="n">
        <v>46209</v>
      </c>
      <c r="D33" s="49"/>
      <c r="E33" s="48" t="n">
        <f aca="false">IFERROR(D33-D32,"")</f>
        <v>0</v>
      </c>
      <c r="F33" s="36" t="n">
        <f aca="false">IFERROR(D33-D7,"")</f>
        <v>-89.5</v>
      </c>
      <c r="G33" s="37" t="n">
        <f aca="false">IFERROR(D33/((Profil!C10/100)^2),"")</f>
        <v>0</v>
      </c>
      <c r="H33" s="50"/>
      <c r="I33" s="50"/>
      <c r="J33" s="50"/>
      <c r="K33" s="51"/>
    </row>
    <row r="34" customFormat="false" ht="18.75" hidden="false" customHeight="true" outlineLevel="0" collapsed="false">
      <c r="B34" s="40" t="n">
        <v>28</v>
      </c>
      <c r="C34" s="41" t="n">
        <v>46216</v>
      </c>
      <c r="D34" s="49"/>
      <c r="E34" s="43" t="n">
        <f aca="false">IFERROR(D34-D33,"")</f>
        <v>0</v>
      </c>
      <c r="F34" s="44" t="n">
        <f aca="false">IFERROR(D34-D7,"")</f>
        <v>-89.5</v>
      </c>
      <c r="G34" s="45" t="n">
        <f aca="false">IFERROR(D34/((Profil!C10/100)^2),"")</f>
        <v>0</v>
      </c>
      <c r="H34" s="50"/>
      <c r="I34" s="50"/>
      <c r="J34" s="50"/>
      <c r="K34" s="51"/>
    </row>
    <row r="35" customFormat="false" ht="18.75" hidden="false" customHeight="true" outlineLevel="0" collapsed="false">
      <c r="B35" s="32" t="n">
        <v>29</v>
      </c>
      <c r="C35" s="33" t="n">
        <v>46223</v>
      </c>
      <c r="D35" s="49"/>
      <c r="E35" s="48" t="n">
        <f aca="false">IFERROR(D35-D34,"")</f>
        <v>0</v>
      </c>
      <c r="F35" s="36" t="n">
        <f aca="false">IFERROR(D35-D7,"")</f>
        <v>-89.5</v>
      </c>
      <c r="G35" s="37" t="n">
        <f aca="false">IFERROR(D35/((Profil!C10/100)^2),"")</f>
        <v>0</v>
      </c>
      <c r="H35" s="50"/>
      <c r="I35" s="50"/>
      <c r="J35" s="50"/>
      <c r="K35" s="51"/>
    </row>
    <row r="36" customFormat="false" ht="18.75" hidden="false" customHeight="true" outlineLevel="0" collapsed="false">
      <c r="B36" s="40" t="n">
        <v>30</v>
      </c>
      <c r="C36" s="41" t="n">
        <v>46230</v>
      </c>
      <c r="D36" s="49"/>
      <c r="E36" s="43" t="n">
        <f aca="false">IFERROR(D36-D35,"")</f>
        <v>0</v>
      </c>
      <c r="F36" s="44" t="n">
        <f aca="false">IFERROR(D36-D7,"")</f>
        <v>-89.5</v>
      </c>
      <c r="G36" s="45" t="n">
        <f aca="false">IFERROR(D36/((Profil!C10/100)^2),"")</f>
        <v>0</v>
      </c>
      <c r="H36" s="50"/>
      <c r="I36" s="50"/>
      <c r="J36" s="50"/>
      <c r="K36" s="51"/>
    </row>
    <row r="37" customFormat="false" ht="18.75" hidden="false" customHeight="true" outlineLevel="0" collapsed="false">
      <c r="B37" s="32" t="n">
        <v>31</v>
      </c>
      <c r="C37" s="33" t="n">
        <v>46237</v>
      </c>
      <c r="D37" s="49"/>
      <c r="E37" s="48" t="n">
        <f aca="false">IFERROR(D37-D36,"")</f>
        <v>0</v>
      </c>
      <c r="F37" s="36" t="n">
        <f aca="false">IFERROR(D37-D7,"")</f>
        <v>-89.5</v>
      </c>
      <c r="G37" s="37" t="n">
        <f aca="false">IFERROR(D37/((Profil!C10/100)^2),"")</f>
        <v>0</v>
      </c>
      <c r="H37" s="50"/>
      <c r="I37" s="50"/>
      <c r="J37" s="50"/>
      <c r="K37" s="51"/>
    </row>
    <row r="38" customFormat="false" ht="18.75" hidden="false" customHeight="true" outlineLevel="0" collapsed="false">
      <c r="B38" s="40" t="n">
        <v>32</v>
      </c>
      <c r="C38" s="41" t="n">
        <v>46244</v>
      </c>
      <c r="D38" s="49"/>
      <c r="E38" s="43" t="n">
        <f aca="false">IFERROR(D38-D37,"")</f>
        <v>0</v>
      </c>
      <c r="F38" s="44" t="n">
        <f aca="false">IFERROR(D38-D7,"")</f>
        <v>-89.5</v>
      </c>
      <c r="G38" s="45" t="n">
        <f aca="false">IFERROR(D38/((Profil!C10/100)^2),"")</f>
        <v>0</v>
      </c>
      <c r="H38" s="50"/>
      <c r="I38" s="50"/>
      <c r="J38" s="50"/>
      <c r="K38" s="51"/>
    </row>
    <row r="39" customFormat="false" ht="18.75" hidden="false" customHeight="true" outlineLevel="0" collapsed="false">
      <c r="B39" s="32" t="n">
        <v>33</v>
      </c>
      <c r="C39" s="33" t="n">
        <v>46251</v>
      </c>
      <c r="D39" s="49"/>
      <c r="E39" s="48" t="n">
        <f aca="false">IFERROR(D39-D38,"")</f>
        <v>0</v>
      </c>
      <c r="F39" s="36" t="n">
        <f aca="false">IFERROR(D39-D7,"")</f>
        <v>-89.5</v>
      </c>
      <c r="G39" s="37" t="n">
        <f aca="false">IFERROR(D39/((Profil!C10/100)^2),"")</f>
        <v>0</v>
      </c>
      <c r="H39" s="50"/>
      <c r="I39" s="50"/>
      <c r="J39" s="50"/>
      <c r="K39" s="51"/>
    </row>
    <row r="40" customFormat="false" ht="18.75" hidden="false" customHeight="true" outlineLevel="0" collapsed="false">
      <c r="B40" s="40" t="n">
        <v>34</v>
      </c>
      <c r="C40" s="41" t="n">
        <v>46258</v>
      </c>
      <c r="D40" s="49"/>
      <c r="E40" s="43" t="n">
        <f aca="false">IFERROR(D40-D39,"")</f>
        <v>0</v>
      </c>
      <c r="F40" s="44" t="n">
        <f aca="false">IFERROR(D40-D7,"")</f>
        <v>-89.5</v>
      </c>
      <c r="G40" s="45" t="n">
        <f aca="false">IFERROR(D40/((Profil!C10/100)^2),"")</f>
        <v>0</v>
      </c>
      <c r="H40" s="50"/>
      <c r="I40" s="50"/>
      <c r="J40" s="50"/>
      <c r="K40" s="51"/>
    </row>
    <row r="41" customFormat="false" ht="18.75" hidden="false" customHeight="true" outlineLevel="0" collapsed="false">
      <c r="B41" s="32" t="n">
        <v>35</v>
      </c>
      <c r="C41" s="33" t="n">
        <v>46265</v>
      </c>
      <c r="D41" s="49"/>
      <c r="E41" s="48" t="n">
        <f aca="false">IFERROR(D41-D40,"")</f>
        <v>0</v>
      </c>
      <c r="F41" s="36" t="n">
        <f aca="false">IFERROR(D41-D7,"")</f>
        <v>-89.5</v>
      </c>
      <c r="G41" s="37" t="n">
        <f aca="false">IFERROR(D41/((Profil!C10/100)^2),"")</f>
        <v>0</v>
      </c>
      <c r="H41" s="50"/>
      <c r="I41" s="50"/>
      <c r="J41" s="50"/>
      <c r="K41" s="51"/>
    </row>
    <row r="42" customFormat="false" ht="18.75" hidden="false" customHeight="true" outlineLevel="0" collapsed="false">
      <c r="B42" s="40" t="n">
        <v>36</v>
      </c>
      <c r="C42" s="41" t="n">
        <v>46272</v>
      </c>
      <c r="D42" s="49"/>
      <c r="E42" s="43" t="n">
        <f aca="false">IFERROR(D42-D41,"")</f>
        <v>0</v>
      </c>
      <c r="F42" s="44" t="n">
        <f aca="false">IFERROR(D42-D7,"")</f>
        <v>-89.5</v>
      </c>
      <c r="G42" s="45" t="n">
        <f aca="false">IFERROR(D42/((Profil!C10/100)^2),"")</f>
        <v>0</v>
      </c>
      <c r="H42" s="50"/>
      <c r="I42" s="50"/>
      <c r="J42" s="50"/>
      <c r="K42" s="51"/>
    </row>
    <row r="43" customFormat="false" ht="18.75" hidden="false" customHeight="true" outlineLevel="0" collapsed="false">
      <c r="B43" s="32" t="n">
        <v>37</v>
      </c>
      <c r="C43" s="33" t="n">
        <v>46279</v>
      </c>
      <c r="D43" s="49"/>
      <c r="E43" s="48" t="n">
        <f aca="false">IFERROR(D43-D42,"")</f>
        <v>0</v>
      </c>
      <c r="F43" s="36" t="n">
        <f aca="false">IFERROR(D43-D7,"")</f>
        <v>-89.5</v>
      </c>
      <c r="G43" s="37" t="n">
        <f aca="false">IFERROR(D43/((Profil!C10/100)^2),"")</f>
        <v>0</v>
      </c>
      <c r="H43" s="50"/>
      <c r="I43" s="50"/>
      <c r="J43" s="50"/>
      <c r="K43" s="51"/>
    </row>
    <row r="44" customFormat="false" ht="18.75" hidden="false" customHeight="true" outlineLevel="0" collapsed="false">
      <c r="B44" s="40" t="n">
        <v>38</v>
      </c>
      <c r="C44" s="41" t="n">
        <v>46286</v>
      </c>
      <c r="D44" s="49"/>
      <c r="E44" s="43" t="n">
        <f aca="false">IFERROR(D44-D43,"")</f>
        <v>0</v>
      </c>
      <c r="F44" s="44" t="n">
        <f aca="false">IFERROR(D44-D7,"")</f>
        <v>-89.5</v>
      </c>
      <c r="G44" s="45" t="n">
        <f aca="false">IFERROR(D44/((Profil!C10/100)^2),"")</f>
        <v>0</v>
      </c>
      <c r="H44" s="50"/>
      <c r="I44" s="50"/>
      <c r="J44" s="50"/>
      <c r="K44" s="51"/>
    </row>
    <row r="45" customFormat="false" ht="18.75" hidden="false" customHeight="true" outlineLevel="0" collapsed="false">
      <c r="B45" s="32" t="n">
        <v>39</v>
      </c>
      <c r="C45" s="33" t="n">
        <v>46293</v>
      </c>
      <c r="D45" s="49"/>
      <c r="E45" s="48" t="n">
        <f aca="false">IFERROR(D45-D44,"")</f>
        <v>0</v>
      </c>
      <c r="F45" s="36" t="n">
        <f aca="false">IFERROR(D45-D7,"")</f>
        <v>-89.5</v>
      </c>
      <c r="G45" s="37" t="n">
        <f aca="false">IFERROR(D45/((Profil!C10/100)^2),"")</f>
        <v>0</v>
      </c>
      <c r="H45" s="50"/>
      <c r="I45" s="50"/>
      <c r="J45" s="50"/>
      <c r="K45" s="51"/>
    </row>
    <row r="46" customFormat="false" ht="18.75" hidden="false" customHeight="true" outlineLevel="0" collapsed="false">
      <c r="B46" s="40" t="n">
        <v>40</v>
      </c>
      <c r="C46" s="41" t="n">
        <v>46300</v>
      </c>
      <c r="D46" s="49"/>
      <c r="E46" s="43" t="n">
        <f aca="false">IFERROR(D46-D45,"")</f>
        <v>0</v>
      </c>
      <c r="F46" s="44" t="n">
        <f aca="false">IFERROR(D46-D7,"")</f>
        <v>-89.5</v>
      </c>
      <c r="G46" s="45" t="n">
        <f aca="false">IFERROR(D46/((Profil!C10/100)^2),"")</f>
        <v>0</v>
      </c>
      <c r="H46" s="50"/>
      <c r="I46" s="50"/>
      <c r="J46" s="50"/>
      <c r="K46" s="51"/>
    </row>
    <row r="47" customFormat="false" ht="18.75" hidden="false" customHeight="true" outlineLevel="0" collapsed="false">
      <c r="B47" s="32" t="n">
        <v>41</v>
      </c>
      <c r="C47" s="33" t="n">
        <v>46307</v>
      </c>
      <c r="D47" s="49"/>
      <c r="E47" s="48" t="n">
        <f aca="false">IFERROR(D47-D46,"")</f>
        <v>0</v>
      </c>
      <c r="F47" s="36" t="n">
        <f aca="false">IFERROR(D47-D7,"")</f>
        <v>-89.5</v>
      </c>
      <c r="G47" s="37" t="n">
        <f aca="false">IFERROR(D47/((Profil!C10/100)^2),"")</f>
        <v>0</v>
      </c>
      <c r="H47" s="50"/>
      <c r="I47" s="50"/>
      <c r="J47" s="50"/>
      <c r="K47" s="51"/>
    </row>
    <row r="48" customFormat="false" ht="18.75" hidden="false" customHeight="true" outlineLevel="0" collapsed="false">
      <c r="B48" s="40" t="n">
        <v>42</v>
      </c>
      <c r="C48" s="41" t="n">
        <v>46314</v>
      </c>
      <c r="D48" s="49"/>
      <c r="E48" s="43" t="n">
        <f aca="false">IFERROR(D48-D47,"")</f>
        <v>0</v>
      </c>
      <c r="F48" s="44" t="n">
        <f aca="false">IFERROR(D48-D7,"")</f>
        <v>-89.5</v>
      </c>
      <c r="G48" s="45" t="n">
        <f aca="false">IFERROR(D48/((Profil!C10/100)^2),"")</f>
        <v>0</v>
      </c>
      <c r="H48" s="50"/>
      <c r="I48" s="50"/>
      <c r="J48" s="50"/>
      <c r="K48" s="51"/>
    </row>
    <row r="49" customFormat="false" ht="18.75" hidden="false" customHeight="true" outlineLevel="0" collapsed="false">
      <c r="B49" s="32" t="n">
        <v>43</v>
      </c>
      <c r="C49" s="33" t="n">
        <v>46321</v>
      </c>
      <c r="D49" s="49"/>
      <c r="E49" s="48" t="n">
        <f aca="false">IFERROR(D49-D48,"")</f>
        <v>0</v>
      </c>
      <c r="F49" s="36" t="n">
        <f aca="false">IFERROR(D49-D7,"")</f>
        <v>-89.5</v>
      </c>
      <c r="G49" s="37" t="n">
        <f aca="false">IFERROR(D49/((Profil!C10/100)^2),"")</f>
        <v>0</v>
      </c>
      <c r="H49" s="50"/>
      <c r="I49" s="50"/>
      <c r="J49" s="50"/>
      <c r="K49" s="51"/>
    </row>
    <row r="50" customFormat="false" ht="18.75" hidden="false" customHeight="true" outlineLevel="0" collapsed="false">
      <c r="B50" s="40" t="n">
        <v>44</v>
      </c>
      <c r="C50" s="41" t="n">
        <v>46328</v>
      </c>
      <c r="D50" s="49"/>
      <c r="E50" s="43" t="n">
        <f aca="false">IFERROR(D50-D49,"")</f>
        <v>0</v>
      </c>
      <c r="F50" s="44" t="n">
        <f aca="false">IFERROR(D50-D7,"")</f>
        <v>-89.5</v>
      </c>
      <c r="G50" s="45" t="n">
        <f aca="false">IFERROR(D50/((Profil!C10/100)^2),"")</f>
        <v>0</v>
      </c>
      <c r="H50" s="50"/>
      <c r="I50" s="50"/>
      <c r="J50" s="50"/>
      <c r="K50" s="51"/>
    </row>
    <row r="51" customFormat="false" ht="18.75" hidden="false" customHeight="true" outlineLevel="0" collapsed="false">
      <c r="B51" s="32" t="n">
        <v>45</v>
      </c>
      <c r="C51" s="33" t="n">
        <v>46335</v>
      </c>
      <c r="D51" s="49"/>
      <c r="E51" s="48" t="n">
        <f aca="false">IFERROR(D51-D50,"")</f>
        <v>0</v>
      </c>
      <c r="F51" s="36" t="n">
        <f aca="false">IFERROR(D51-D7,"")</f>
        <v>-89.5</v>
      </c>
      <c r="G51" s="37" t="n">
        <f aca="false">IFERROR(D51/((Profil!C10/100)^2),"")</f>
        <v>0</v>
      </c>
      <c r="H51" s="50"/>
      <c r="I51" s="50"/>
      <c r="J51" s="50"/>
      <c r="K51" s="51"/>
    </row>
    <row r="52" customFormat="false" ht="18.75" hidden="false" customHeight="true" outlineLevel="0" collapsed="false">
      <c r="B52" s="40" t="n">
        <v>46</v>
      </c>
      <c r="C52" s="41" t="n">
        <v>46342</v>
      </c>
      <c r="D52" s="49"/>
      <c r="E52" s="43" t="n">
        <f aca="false">IFERROR(D52-D51,"")</f>
        <v>0</v>
      </c>
      <c r="F52" s="44" t="n">
        <f aca="false">IFERROR(D52-D7,"")</f>
        <v>-89.5</v>
      </c>
      <c r="G52" s="45" t="n">
        <f aca="false">IFERROR(D52/((Profil!C10/100)^2),"")</f>
        <v>0</v>
      </c>
      <c r="H52" s="50"/>
      <c r="I52" s="50"/>
      <c r="J52" s="50"/>
      <c r="K52" s="51"/>
    </row>
    <row r="53" customFormat="false" ht="18.75" hidden="false" customHeight="true" outlineLevel="0" collapsed="false">
      <c r="B53" s="32" t="n">
        <v>47</v>
      </c>
      <c r="C53" s="33" t="n">
        <v>46349</v>
      </c>
      <c r="D53" s="49"/>
      <c r="E53" s="48" t="n">
        <f aca="false">IFERROR(D53-D52,"")</f>
        <v>0</v>
      </c>
      <c r="F53" s="36" t="n">
        <f aca="false">IFERROR(D53-D7,"")</f>
        <v>-89.5</v>
      </c>
      <c r="G53" s="37" t="n">
        <f aca="false">IFERROR(D53/((Profil!C10/100)^2),"")</f>
        <v>0</v>
      </c>
      <c r="H53" s="50"/>
      <c r="I53" s="50"/>
      <c r="J53" s="50"/>
      <c r="K53" s="51"/>
    </row>
    <row r="54" customFormat="false" ht="18.75" hidden="false" customHeight="true" outlineLevel="0" collapsed="false">
      <c r="B54" s="40" t="n">
        <v>48</v>
      </c>
      <c r="C54" s="41" t="n">
        <v>46356</v>
      </c>
      <c r="D54" s="49"/>
      <c r="E54" s="43" t="n">
        <f aca="false">IFERROR(D54-D53,"")</f>
        <v>0</v>
      </c>
      <c r="F54" s="44" t="n">
        <f aca="false">IFERROR(D54-D7,"")</f>
        <v>-89.5</v>
      </c>
      <c r="G54" s="45" t="n">
        <f aca="false">IFERROR(D54/((Profil!C10/100)^2),"")</f>
        <v>0</v>
      </c>
      <c r="H54" s="50"/>
      <c r="I54" s="50"/>
      <c r="J54" s="50"/>
      <c r="K54" s="51"/>
    </row>
    <row r="55" customFormat="false" ht="18.75" hidden="false" customHeight="true" outlineLevel="0" collapsed="false">
      <c r="B55" s="32" t="n">
        <v>49</v>
      </c>
      <c r="C55" s="33" t="n">
        <v>46363</v>
      </c>
      <c r="D55" s="49"/>
      <c r="E55" s="48" t="n">
        <f aca="false">IFERROR(D55-D54,"")</f>
        <v>0</v>
      </c>
      <c r="F55" s="36" t="n">
        <f aca="false">IFERROR(D55-D7,"")</f>
        <v>-89.5</v>
      </c>
      <c r="G55" s="37" t="n">
        <f aca="false">IFERROR(D55/((Profil!C10/100)^2),"")</f>
        <v>0</v>
      </c>
      <c r="H55" s="50"/>
      <c r="I55" s="50"/>
      <c r="J55" s="50"/>
      <c r="K55" s="51"/>
    </row>
    <row r="56" customFormat="false" ht="18.75" hidden="false" customHeight="true" outlineLevel="0" collapsed="false">
      <c r="B56" s="40" t="n">
        <v>50</v>
      </c>
      <c r="C56" s="41" t="n">
        <v>46370</v>
      </c>
      <c r="D56" s="49"/>
      <c r="E56" s="43" t="n">
        <f aca="false">IFERROR(D56-D55,"")</f>
        <v>0</v>
      </c>
      <c r="F56" s="44" t="n">
        <f aca="false">IFERROR(D56-D7,"")</f>
        <v>-89.5</v>
      </c>
      <c r="G56" s="45" t="n">
        <f aca="false">IFERROR(D56/((Profil!C10/100)^2),"")</f>
        <v>0</v>
      </c>
      <c r="H56" s="50"/>
      <c r="I56" s="50"/>
      <c r="J56" s="50"/>
      <c r="K56" s="51"/>
    </row>
    <row r="57" customFormat="false" ht="18.75" hidden="false" customHeight="true" outlineLevel="0" collapsed="false">
      <c r="B57" s="32" t="n">
        <v>51</v>
      </c>
      <c r="C57" s="33" t="n">
        <v>46377</v>
      </c>
      <c r="D57" s="49"/>
      <c r="E57" s="48" t="n">
        <f aca="false">IFERROR(D57-D56,"")</f>
        <v>0</v>
      </c>
      <c r="F57" s="36" t="n">
        <f aca="false">IFERROR(D57-D7,"")</f>
        <v>-89.5</v>
      </c>
      <c r="G57" s="37" t="n">
        <f aca="false">IFERROR(D57/((Profil!C10/100)^2),"")</f>
        <v>0</v>
      </c>
      <c r="H57" s="50"/>
      <c r="I57" s="50"/>
      <c r="J57" s="50"/>
      <c r="K57" s="51"/>
    </row>
    <row r="58" customFormat="false" ht="18.75" hidden="false" customHeight="true" outlineLevel="0" collapsed="false">
      <c r="B58" s="40" t="n">
        <v>52</v>
      </c>
      <c r="C58" s="41" t="n">
        <v>46384</v>
      </c>
      <c r="D58" s="49"/>
      <c r="E58" s="43" t="n">
        <f aca="false">IFERROR(D58-D57,"")</f>
        <v>0</v>
      </c>
      <c r="F58" s="44" t="n">
        <f aca="false">IFERROR(D58-D7,"")</f>
        <v>-89.5</v>
      </c>
      <c r="G58" s="45" t="n">
        <f aca="false">IFERROR(D58/((Profil!C10/100)^2),"")</f>
        <v>0</v>
      </c>
      <c r="H58" s="50"/>
      <c r="I58" s="50"/>
      <c r="J58" s="50"/>
      <c r="K58" s="51"/>
    </row>
  </sheetData>
  <mergeCells count="2">
    <mergeCell ref="A1:L3"/>
    <mergeCell ref="A4:L4"/>
  </mergeCells>
  <conditionalFormatting sqref="E8:E58">
    <cfRule type="colorScale" priority="2">
      <colorScale>
        <cfvo type="min" val="0"/>
        <cfvo type="num" val="0"/>
        <cfvo type="max" val="0"/>
        <color rgb="FF4A6FA5"/>
        <color rgb="FFFFFFFF"/>
        <color rgb="FFC0392B"/>
      </colorScale>
    </cfRule>
  </conditionalFormatting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4A017"/>
    <pageSetUpPr fitToPage="false"/>
  </sheetPr>
  <dimension ref="A1:G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3" min="3" style="0" width="16"/>
    <col collapsed="false" customWidth="true" hidden="false" outlineLevel="0" max="4" min="4" style="0" width="4"/>
    <col collapsed="false" customWidth="true" hidden="false" outlineLevel="0" max="5" min="5" style="0" width="26"/>
    <col collapsed="false" customWidth="true" hidden="false" outlineLevel="0" max="6" min="6" style="0" width="16"/>
    <col collapsed="false" customWidth="true" hidden="false" outlineLevel="0" max="7" min="7" style="0" width="2"/>
  </cols>
  <sheetData>
    <row r="1" customFormat="false" ht="25.5" hidden="false" customHeight="true" outlineLevel="0" collapsed="false">
      <c r="A1" s="29" t="s">
        <v>66</v>
      </c>
      <c r="B1" s="29"/>
      <c r="C1" s="29"/>
      <c r="D1" s="29"/>
      <c r="E1" s="29"/>
      <c r="F1" s="29"/>
      <c r="G1" s="29"/>
    </row>
    <row r="2" customFormat="false" ht="15" hidden="false" customHeight="false" outlineLevel="0" collapsed="false">
      <c r="A2" s="29"/>
      <c r="B2" s="29"/>
      <c r="C2" s="29"/>
      <c r="D2" s="29"/>
      <c r="E2" s="29"/>
      <c r="F2" s="29"/>
      <c r="G2" s="29"/>
    </row>
    <row r="3" customFormat="false" ht="15" hidden="false" customHeight="false" outlineLevel="0" collapsed="false">
      <c r="A3" s="29"/>
      <c r="B3" s="29"/>
      <c r="C3" s="29"/>
      <c r="D3" s="29"/>
      <c r="E3" s="29"/>
      <c r="F3" s="29"/>
      <c r="G3" s="29"/>
    </row>
    <row r="4" customFormat="false" ht="7.5" hidden="false" customHeight="true" outlineLevel="0" collapsed="false"/>
    <row r="5" customFormat="false" ht="19.5" hidden="false" customHeight="true" outlineLevel="0" collapsed="false">
      <c r="B5" s="3" t="s">
        <v>67</v>
      </c>
      <c r="C5" s="3"/>
      <c r="D5" s="3"/>
      <c r="E5" s="3"/>
      <c r="F5" s="3"/>
    </row>
    <row r="6" customFormat="false" ht="19.5" hidden="false" customHeight="true" outlineLevel="0" collapsed="false">
      <c r="B6" s="52" t="s">
        <v>9</v>
      </c>
      <c r="C6" s="53" t="n">
        <f aca="false">Profil!C11</f>
        <v>89.5</v>
      </c>
    </row>
    <row r="7" customFormat="false" ht="19.5" hidden="false" customHeight="true" outlineLevel="0" collapsed="false">
      <c r="B7" s="4" t="s">
        <v>68</v>
      </c>
      <c r="C7" s="53" t="n">
        <f aca="false">IFERROR(_xlfn.MINIFS(Wochenprotokoll!D7:D58,Wochenprotokoll!D7:D58,"&gt;0"),"—")</f>
        <v>84.2</v>
      </c>
    </row>
    <row r="8" customFormat="false" ht="19.5" hidden="false" customHeight="true" outlineLevel="0" collapsed="false">
      <c r="B8" s="52" t="s">
        <v>10</v>
      </c>
      <c r="C8" s="53" t="n">
        <f aca="false">Profil!C12</f>
        <v>80</v>
      </c>
    </row>
    <row r="9" customFormat="false" ht="19.5" hidden="false" customHeight="true" outlineLevel="0" collapsed="false">
      <c r="B9" s="4" t="s">
        <v>69</v>
      </c>
      <c r="C9" s="54" t="n">
        <f aca="false">IFERROR(C7-C6,"—")</f>
        <v>-5.3</v>
      </c>
    </row>
    <row r="10" customFormat="false" ht="19.5" hidden="false" customHeight="true" outlineLevel="0" collapsed="false">
      <c r="B10" s="52" t="s">
        <v>70</v>
      </c>
      <c r="C10" s="53" t="n">
        <f aca="false">IFERROR(MIN(Wochenprotokoll!D7:D58),"—")</f>
        <v>84.2</v>
      </c>
    </row>
    <row r="11" customFormat="false" ht="19.5" hidden="false" customHeight="true" outlineLevel="0" collapsed="false">
      <c r="B11" s="4" t="s">
        <v>71</v>
      </c>
      <c r="C11" s="53" t="n">
        <f aca="false">IFERROR(MAX(Wochenprotokoll!D7:D58),"—")</f>
        <v>89.5</v>
      </c>
    </row>
    <row r="12" customFormat="false" ht="19.5" hidden="false" customHeight="true" outlineLevel="0" collapsed="false">
      <c r="B12" s="52" t="s">
        <v>72</v>
      </c>
      <c r="C12" s="53" t="n">
        <f aca="false">IFERROR(AVERAGEIF(Wochenprotokoll!D7:D58,"&gt;0"),"—")</f>
        <v>86.845</v>
      </c>
    </row>
    <row r="13" customFormat="false" ht="19.5" hidden="false" customHeight="true" outlineLevel="0" collapsed="false">
      <c r="B13" s="4" t="s">
        <v>73</v>
      </c>
      <c r="C13" s="55" t="n">
        <f aca="false">IFERROR(AVERAGEIF(Wochenprotokoll!E8:E58,"&lt;&gt;0"),"—")</f>
        <v>-4.475</v>
      </c>
    </row>
    <row r="14" customFormat="false" ht="19.5" hidden="false" customHeight="true" outlineLevel="0" collapsed="false">
      <c r="B14" s="52" t="s">
        <v>74</v>
      </c>
      <c r="C14" s="56" t="n">
        <f aca="false">COUNTIF(Wochenprotokoll!D7:D58,"&gt;0")</f>
        <v>20</v>
      </c>
    </row>
    <row r="15" customFormat="false" ht="19.5" hidden="false" customHeight="true" outlineLevel="0" collapsed="false">
      <c r="B15" s="4" t="s">
        <v>75</v>
      </c>
      <c r="C15" s="53" t="n">
        <f aca="false">IFERROR(C7/((Profil!C10/100)^2),"—")</f>
        <v>26.5749274081555</v>
      </c>
    </row>
    <row r="16" customFormat="false" ht="19.5" hidden="false" customHeight="true" outlineLevel="0" collapsed="false">
      <c r="B16" s="52" t="s">
        <v>18</v>
      </c>
      <c r="C16" s="53" t="n">
        <f aca="false">IFERROR(Profil!C12/((Profil!C10/100)^2),"—")</f>
        <v>25.2493372048984</v>
      </c>
    </row>
    <row r="17" customFormat="false" ht="19.5" hidden="false" customHeight="true" outlineLevel="0" collapsed="false">
      <c r="B17" s="4" t="s">
        <v>76</v>
      </c>
      <c r="C17" s="54" t="n">
        <f aca="false">IFERROR(C7-Profil!C12,"—")</f>
        <v>4.2</v>
      </c>
    </row>
    <row r="18" customFormat="false" ht="19.5" hidden="false" customHeight="true" outlineLevel="0" collapsed="false">
      <c r="B18" s="52" t="s">
        <v>77</v>
      </c>
      <c r="C18" s="57" t="n">
        <f aca="false">IFERROR(ABS(C9)/ABS(Profil!C12-Profil!C11),"—")</f>
        <v>0.557894736842105</v>
      </c>
    </row>
    <row r="19" customFormat="false" ht="7.5" hidden="false" customHeight="true" outlineLevel="0" collapsed="false"/>
    <row r="20" customFormat="false" ht="19.5" hidden="false" customHeight="true" outlineLevel="0" collapsed="false">
      <c r="B20" s="3" t="s">
        <v>78</v>
      </c>
      <c r="C20" s="3"/>
      <c r="D20" s="3"/>
      <c r="E20" s="3"/>
      <c r="F20" s="3"/>
    </row>
    <row r="21" customFormat="false" ht="19.5" hidden="false" customHeight="true" outlineLevel="0" collapsed="false">
      <c r="B21" s="4" t="s">
        <v>79</v>
      </c>
      <c r="C21" s="56" t="n">
        <f aca="false">IFERROR(INDEX(Wochenprotokoll!H7:H58,MATCH(TRUE(),Wochenprotokoll!H7:H58&gt;0,0)),"—")</f>
        <v>98</v>
      </c>
    </row>
    <row r="22" customFormat="false" ht="19.5" hidden="false" customHeight="true" outlineLevel="0" collapsed="false">
      <c r="B22" s="52" t="s">
        <v>80</v>
      </c>
      <c r="C22" s="56" t="n">
        <f aca="false">IFERROR(_xlfn.MINIFS(Wochenprotokoll!H7:H58,Wochenprotokoll!H7:H58,"&gt;0"),"—")</f>
        <v>89</v>
      </c>
    </row>
    <row r="23" customFormat="false" ht="19.5" hidden="false" customHeight="true" outlineLevel="0" collapsed="false">
      <c r="B23" s="4" t="s">
        <v>81</v>
      </c>
      <c r="C23" s="56" t="n">
        <f aca="false">IFERROR(INDEX(Wochenprotokoll!I7:I58,MATCH(TRUE(),Wochenprotokoll!I7:I58&gt;0,0)),"—")</f>
        <v>104</v>
      </c>
    </row>
    <row r="24" customFormat="false" ht="19.5" hidden="false" customHeight="true" outlineLevel="0" collapsed="false">
      <c r="B24" s="52" t="s">
        <v>82</v>
      </c>
      <c r="C24" s="56" t="n">
        <f aca="false">IFERROR(_xlfn.MINIFS(Wochenprotokoll!I7:I58,Wochenprotokoll!I7:I58,"&gt;0"),"—")</f>
        <v>95</v>
      </c>
    </row>
    <row r="25" customFormat="false" ht="19.5" hidden="false" customHeight="true" outlineLevel="0" collapsed="false">
      <c r="B25" s="4" t="s">
        <v>83</v>
      </c>
      <c r="C25" s="53" t="n">
        <f aca="false">IFERROR(AVERAGEIF(Wochenprotokoll!J7:J58,"&gt;0"),"—")</f>
        <v>4.55</v>
      </c>
    </row>
    <row r="26" customFormat="false" ht="7.5" hidden="false" customHeight="true" outlineLevel="0" collapsed="false"/>
    <row r="27" customFormat="false" ht="18" hidden="false" customHeight="true" outlineLevel="0" collapsed="false">
      <c r="B27" s="58" t="s">
        <v>84</v>
      </c>
      <c r="C27" s="58"/>
      <c r="D27" s="58"/>
      <c r="E27" s="58"/>
      <c r="F27" s="58"/>
    </row>
  </sheetData>
  <mergeCells count="4">
    <mergeCell ref="A1:G3"/>
    <mergeCell ref="B5:F5"/>
    <mergeCell ref="B20:F20"/>
    <mergeCell ref="B27:F27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392B"/>
    <pageSetUpPr fitToPage="false"/>
  </sheetPr>
  <dimension ref="A1:H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6"/>
    <col collapsed="false" customWidth="true" hidden="false" outlineLevel="0" max="7" min="3" style="0" width="14"/>
    <col collapsed="false" customWidth="true" hidden="false" outlineLevel="0" max="8" min="8" style="0" width="2"/>
  </cols>
  <sheetData>
    <row r="1" customFormat="false" ht="25.5" hidden="false" customHeight="true" outlineLevel="0" collapsed="false">
      <c r="A1" s="59" t="s">
        <v>85</v>
      </c>
      <c r="B1" s="59"/>
      <c r="C1" s="59"/>
      <c r="D1" s="59"/>
      <c r="E1" s="59"/>
      <c r="F1" s="59"/>
      <c r="G1" s="59"/>
      <c r="H1" s="59"/>
    </row>
    <row r="2" customFormat="false" ht="15" hidden="false" customHeight="false" outlineLevel="0" collapsed="false">
      <c r="A2" s="59"/>
      <c r="B2" s="59"/>
      <c r="C2" s="59"/>
      <c r="D2" s="59"/>
      <c r="E2" s="59"/>
      <c r="F2" s="59"/>
      <c r="G2" s="59"/>
      <c r="H2" s="59"/>
    </row>
    <row r="3" customFormat="false" ht="15" hidden="false" customHeight="false" outlineLevel="0" collapsed="false">
      <c r="A3" s="59"/>
      <c r="B3" s="59"/>
      <c r="C3" s="59"/>
      <c r="D3" s="59"/>
      <c r="E3" s="59"/>
      <c r="F3" s="59"/>
      <c r="G3" s="59"/>
      <c r="H3" s="59"/>
    </row>
    <row r="4" customFormat="false" ht="7.5" hidden="false" customHeight="true" outlineLevel="0" collapsed="false"/>
    <row r="5" customFormat="false" ht="19.5" hidden="false" customHeight="true" outlineLevel="0" collapsed="false">
      <c r="B5" s="3" t="s">
        <v>86</v>
      </c>
      <c r="C5" s="3"/>
      <c r="D5" s="3"/>
      <c r="E5" s="3"/>
      <c r="F5" s="3"/>
      <c r="G5" s="3"/>
    </row>
    <row r="6" customFormat="false" ht="30" hidden="false" customHeight="true" outlineLevel="0" collapsed="false">
      <c r="B6" s="60" t="s">
        <v>87</v>
      </c>
      <c r="C6" s="60" t="s">
        <v>88</v>
      </c>
      <c r="D6" s="60" t="s">
        <v>89</v>
      </c>
      <c r="E6" s="60" t="s">
        <v>90</v>
      </c>
      <c r="F6" s="60" t="s">
        <v>91</v>
      </c>
      <c r="G6" s="60" t="s">
        <v>92</v>
      </c>
    </row>
    <row r="7" customFormat="false" ht="19.5" hidden="false" customHeight="true" outlineLevel="0" collapsed="false">
      <c r="B7" s="61" t="s">
        <v>93</v>
      </c>
      <c r="C7" s="62" t="n">
        <f aca="false">IFERROR(AVERAGEIFS(Wochenprotokoll!$D$7:$D$58,Wochenprotokoll!$D$7:$D$58,"&gt;0",Wochenprotokoll!$C$7:$C$58,"&gt;="&amp;DATE(2026,1,1),Wochenprotokoll!$C$7:$C$58,"&lt;"&amp;DATE(2026,2,1)),"—")</f>
        <v>88.975</v>
      </c>
      <c r="D7" s="62" t="n">
        <f aca="false">IFERROR(_xlfn.MINIFS(Wochenprotokoll!$D$7:$D$58,Wochenprotokoll!$D$7:$D$58,"&gt;0",Wochenprotokoll!$C$7:$C$58,"&gt;="&amp;DATE(2026,1,1),Wochenprotokoll!$C$7:$C$58,"&lt;"&amp;DATE(2026,2,1)),"—")</f>
        <v>88.6</v>
      </c>
      <c r="E7" s="62" t="n">
        <f aca="false">IFERROR(_xlfn.MAXIFS(Wochenprotokoll!$D$7:$D$58,Wochenprotokoll!$D$7:$D$58,"&gt;0",Wochenprotokoll!$C$7:$C$58,"&gt;="&amp;DATE(2026,1,1),Wochenprotokoll!$C$7:$C$58,"&lt;"&amp;DATE(2026,2,1)),"—")</f>
        <v>89.5</v>
      </c>
      <c r="F7" s="63" t="s">
        <v>52</v>
      </c>
      <c r="G7" s="62" t="n">
        <f aca="false">IFERROR(AVERAGEIFS(Wochenprotokoll!$J$7:$J$58,Wochenprotokoll!$J$7:$J$58,"&gt;0",Wochenprotokoll!$C$7:$C$58,"&gt;="&amp;DATE(2026,1,1),Wochenprotokoll!$C$7:$C$58,"&lt;"&amp;DATE(2026,2,1)),"—")</f>
        <v>4</v>
      </c>
    </row>
    <row r="8" customFormat="false" ht="19.5" hidden="false" customHeight="true" outlineLevel="0" collapsed="false">
      <c r="B8" s="14" t="s">
        <v>94</v>
      </c>
      <c r="C8" s="64" t="n">
        <f aca="false">IFERROR(AVERAGEIFS(Wochenprotokoll!$D$7:$D$58,Wochenprotokoll!$D$7:$D$58,"&gt;0",Wochenprotokoll!$C$7:$C$58,"&gt;="&amp;DATE(2026,2,1),Wochenprotokoll!$C$7:$C$58,"&lt;"&amp;DATE(2026,3,1)),"—")</f>
        <v>87.85</v>
      </c>
      <c r="D8" s="64" t="n">
        <f aca="false">IFERROR(_xlfn.MINIFS(Wochenprotokoll!$D$7:$D$58,Wochenprotokoll!$D$7:$D$58,"&gt;0",Wochenprotokoll!$C$7:$C$58,"&gt;="&amp;DATE(2026,2,1),Wochenprotokoll!$C$7:$C$58,"&lt;"&amp;DATE(2026,3,1)),"—")</f>
        <v>87.5</v>
      </c>
      <c r="E8" s="64" t="n">
        <f aca="false">IFERROR(_xlfn.MAXIFS(Wochenprotokoll!$D$7:$D$58,Wochenprotokoll!$D$7:$D$58,"&gt;0",Wochenprotokoll!$C$7:$C$58,"&gt;="&amp;DATE(2026,2,1),Wochenprotokoll!$C$7:$C$58,"&lt;"&amp;DATE(2026,3,1)),"—")</f>
        <v>88.2</v>
      </c>
      <c r="F8" s="65" t="n">
        <f aca="false">IFERROR(C8-C7,"—")</f>
        <v>-1.125</v>
      </c>
      <c r="G8" s="64" t="n">
        <f aca="false">IFERROR(AVERAGEIFS(Wochenprotokoll!$J$7:$J$58,Wochenprotokoll!$J$7:$J$58,"&gt;0",Wochenprotokoll!$C$7:$C$58,"&gt;="&amp;DATE(2026,2,1),Wochenprotokoll!$C$7:$C$58,"&lt;"&amp;DATE(2026,3,1)),"—")</f>
        <v>4.5</v>
      </c>
    </row>
    <row r="9" customFormat="false" ht="19.5" hidden="false" customHeight="true" outlineLevel="0" collapsed="false">
      <c r="B9" s="61" t="s">
        <v>95</v>
      </c>
      <c r="C9" s="62" t="n">
        <f aca="false">IFERROR(AVERAGEIFS(Wochenprotokoll!$D$7:$D$58,Wochenprotokoll!$D$7:$D$58,"&gt;0",Wochenprotokoll!$C$7:$C$58,"&gt;="&amp;DATE(2026,3,1),Wochenprotokoll!$C$7:$C$58,"&lt;"&amp;DATE(2026,4,1)),"—")</f>
        <v>86.68</v>
      </c>
      <c r="D9" s="62" t="n">
        <f aca="false">IFERROR(_xlfn.MINIFS(Wochenprotokoll!$D$7:$D$58,Wochenprotokoll!$D$7:$D$58,"&gt;0",Wochenprotokoll!$C$7:$C$58,"&gt;="&amp;DATE(2026,3,1),Wochenprotokoll!$C$7:$C$58,"&lt;"&amp;DATE(2026,4,1)),"—")</f>
        <v>86.1</v>
      </c>
      <c r="E9" s="62" t="n">
        <f aca="false">IFERROR(_xlfn.MAXIFS(Wochenprotokoll!$D$7:$D$58,Wochenprotokoll!$D$7:$D$58,"&gt;0",Wochenprotokoll!$C$7:$C$58,"&gt;="&amp;DATE(2026,3,1),Wochenprotokoll!$C$7:$C$58,"&lt;"&amp;DATE(2026,4,1)),"—")</f>
        <v>87.2</v>
      </c>
      <c r="F9" s="66" t="n">
        <f aca="false">IFERROR(C9-C8,"—")</f>
        <v>-1.17</v>
      </c>
      <c r="G9" s="62" t="n">
        <f aca="false">IFERROR(AVERAGEIFS(Wochenprotokoll!$J$7:$J$58,Wochenprotokoll!$J$7:$J$58,"&gt;0",Wochenprotokoll!$C$7:$C$58,"&gt;="&amp;DATE(2026,3,1),Wochenprotokoll!$C$7:$C$58,"&lt;"&amp;DATE(2026,4,1)),"—")</f>
        <v>5</v>
      </c>
    </row>
    <row r="10" customFormat="false" ht="19.5" hidden="false" customHeight="true" outlineLevel="0" collapsed="false">
      <c r="B10" s="14" t="s">
        <v>96</v>
      </c>
      <c r="C10" s="64" t="n">
        <f aca="false">IFERROR(AVERAGEIFS(Wochenprotokoll!$D$7:$D$58,Wochenprotokoll!$D$7:$D$58,"&gt;0",Wochenprotokoll!$C$7:$C$58,"&gt;="&amp;DATE(2026,4,1),Wochenprotokoll!$C$7:$C$58,"&lt;"&amp;DATE(2026,5,1)),"—")</f>
        <v>85.625</v>
      </c>
      <c r="D10" s="64" t="n">
        <f aca="false">IFERROR(_xlfn.MINIFS(Wochenprotokoll!$D$7:$D$58,Wochenprotokoll!$D$7:$D$58,"&gt;0",Wochenprotokoll!$C$7:$C$58,"&gt;="&amp;DATE(2026,4,1),Wochenprotokoll!$C$7:$C$58,"&lt;"&amp;DATE(2026,5,1)),"—")</f>
        <v>85.3</v>
      </c>
      <c r="E10" s="64" t="n">
        <f aca="false">IFERROR(_xlfn.MAXIFS(Wochenprotokoll!$D$7:$D$58,Wochenprotokoll!$D$7:$D$58,"&gt;0",Wochenprotokoll!$C$7:$C$58,"&gt;="&amp;DATE(2026,4,1),Wochenprotokoll!$C$7:$C$58,"&lt;"&amp;DATE(2026,5,1)),"—")</f>
        <v>85.9</v>
      </c>
      <c r="F10" s="65" t="n">
        <f aca="false">IFERROR(C10-C9,"—")</f>
        <v>-1.05499999999999</v>
      </c>
      <c r="G10" s="64" t="n">
        <f aca="false">IFERROR(AVERAGEIFS(Wochenprotokoll!$J$7:$J$58,Wochenprotokoll!$J$7:$J$58,"&gt;0",Wochenprotokoll!$C$7:$C$58,"&gt;="&amp;DATE(2026,4,1),Wochenprotokoll!$C$7:$C$58,"&lt;"&amp;DATE(2026,5,1)),"—")</f>
        <v>4.5</v>
      </c>
    </row>
    <row r="11" customFormat="false" ht="19.5" hidden="false" customHeight="true" outlineLevel="0" collapsed="false">
      <c r="B11" s="61" t="s">
        <v>97</v>
      </c>
      <c r="C11" s="62" t="n">
        <f aca="false">IFERROR(AVERAGEIFS(Wochenprotokoll!$D$7:$D$58,Wochenprotokoll!$D$7:$D$58,"&gt;0",Wochenprotokoll!$C$7:$C$58,"&gt;="&amp;DATE(2026,5,1),Wochenprotokoll!$C$7:$C$58,"&lt;"&amp;DATE(2026,6,1)),"—")</f>
        <v>84.5666666666667</v>
      </c>
      <c r="D11" s="62" t="n">
        <f aca="false">IFERROR(_xlfn.MINIFS(Wochenprotokoll!$D$7:$D$58,Wochenprotokoll!$D$7:$D$58,"&gt;0",Wochenprotokoll!$C$7:$C$58,"&gt;="&amp;DATE(2026,5,1),Wochenprotokoll!$C$7:$C$58,"&lt;"&amp;DATE(2026,6,1)),"—")</f>
        <v>84.2</v>
      </c>
      <c r="E11" s="62" t="n">
        <f aca="false">IFERROR(_xlfn.MAXIFS(Wochenprotokoll!$D$7:$D$58,Wochenprotokoll!$D$7:$D$58,"&gt;0",Wochenprotokoll!$C$7:$C$58,"&gt;="&amp;DATE(2026,5,1),Wochenprotokoll!$C$7:$C$58,"&lt;"&amp;DATE(2026,6,1)),"—")</f>
        <v>84.9</v>
      </c>
      <c r="F11" s="66" t="n">
        <f aca="false">IFERROR(C11-C10,"—")</f>
        <v>-1.05833333333334</v>
      </c>
      <c r="G11" s="62" t="n">
        <f aca="false">IFERROR(AVERAGEIFS(Wochenprotokoll!$J$7:$J$58,Wochenprotokoll!$J$7:$J$58,"&gt;0",Wochenprotokoll!$C$7:$C$58,"&gt;="&amp;DATE(2026,5,1),Wochenprotokoll!$C$7:$C$58,"&lt;"&amp;DATE(2026,6,1)),"—")</f>
        <v>4.66666666666667</v>
      </c>
    </row>
    <row r="12" customFormat="false" ht="19.5" hidden="false" customHeight="true" outlineLevel="0" collapsed="false">
      <c r="B12" s="14" t="s">
        <v>98</v>
      </c>
      <c r="C12" s="64" t="str">
        <f aca="false">IFERROR(AVERAGEIFS(Wochenprotokoll!$D$7:$D$58,Wochenprotokoll!$D$7:$D$58,"&gt;0",Wochenprotokoll!$C$7:$C$58,"&gt;="&amp;DATE(2026,6,1),Wochenprotokoll!$C$7:$C$58,"&lt;"&amp;DATE(2026,7,1)),"—")</f>
        <v>—</v>
      </c>
      <c r="D12" s="64" t="n">
        <f aca="false">IFERROR(_xlfn.MINIFS(Wochenprotokoll!$D$7:$D$58,Wochenprotokoll!$D$7:$D$58,"&gt;0",Wochenprotokoll!$C$7:$C$58,"&gt;="&amp;DATE(2026,6,1),Wochenprotokoll!$C$7:$C$58,"&lt;"&amp;DATE(2026,7,1)),"—")</f>
        <v>0</v>
      </c>
      <c r="E12" s="64" t="n">
        <f aca="false">IFERROR(_xlfn.MAXIFS(Wochenprotokoll!$D$7:$D$58,Wochenprotokoll!$D$7:$D$58,"&gt;0",Wochenprotokoll!$C$7:$C$58,"&gt;="&amp;DATE(2026,6,1),Wochenprotokoll!$C$7:$C$58,"&lt;"&amp;DATE(2026,7,1)),"—")</f>
        <v>0</v>
      </c>
      <c r="F12" s="65" t="str">
        <f aca="false">IFERROR(C12-C11,"—")</f>
        <v>—</v>
      </c>
      <c r="G12" s="64" t="str">
        <f aca="false">IFERROR(AVERAGEIFS(Wochenprotokoll!$J$7:$J$58,Wochenprotokoll!$J$7:$J$58,"&gt;0",Wochenprotokoll!$C$7:$C$58,"&gt;="&amp;DATE(2026,6,1),Wochenprotokoll!$C$7:$C$58,"&lt;"&amp;DATE(2026,7,1)),"—")</f>
        <v>—</v>
      </c>
    </row>
    <row r="13" customFormat="false" ht="19.5" hidden="false" customHeight="true" outlineLevel="0" collapsed="false">
      <c r="B13" s="61" t="s">
        <v>99</v>
      </c>
      <c r="C13" s="62" t="str">
        <f aca="false">IFERROR(AVERAGEIFS(Wochenprotokoll!$D$7:$D$58,Wochenprotokoll!$D$7:$D$58,"&gt;0",Wochenprotokoll!$C$7:$C$58,"&gt;="&amp;DATE(2026,7,1),Wochenprotokoll!$C$7:$C$58,"&lt;"&amp;DATE(2026,8,1)),"—")</f>
        <v>—</v>
      </c>
      <c r="D13" s="62" t="n">
        <f aca="false">IFERROR(_xlfn.MINIFS(Wochenprotokoll!$D$7:$D$58,Wochenprotokoll!$D$7:$D$58,"&gt;0",Wochenprotokoll!$C$7:$C$58,"&gt;="&amp;DATE(2026,7,1),Wochenprotokoll!$C$7:$C$58,"&lt;"&amp;DATE(2026,8,1)),"—")</f>
        <v>0</v>
      </c>
      <c r="E13" s="62" t="n">
        <f aca="false">IFERROR(_xlfn.MAXIFS(Wochenprotokoll!$D$7:$D$58,Wochenprotokoll!$D$7:$D$58,"&gt;0",Wochenprotokoll!$C$7:$C$58,"&gt;="&amp;DATE(2026,7,1),Wochenprotokoll!$C$7:$C$58,"&lt;"&amp;DATE(2026,8,1)),"—")</f>
        <v>0</v>
      </c>
      <c r="F13" s="66" t="str">
        <f aca="false">IFERROR(C13-C12,"—")</f>
        <v>—</v>
      </c>
      <c r="G13" s="62" t="str">
        <f aca="false">IFERROR(AVERAGEIFS(Wochenprotokoll!$J$7:$J$58,Wochenprotokoll!$J$7:$J$58,"&gt;0",Wochenprotokoll!$C$7:$C$58,"&gt;="&amp;DATE(2026,7,1),Wochenprotokoll!$C$7:$C$58,"&lt;"&amp;DATE(2026,8,1)),"—")</f>
        <v>—</v>
      </c>
    </row>
    <row r="14" customFormat="false" ht="19.5" hidden="false" customHeight="true" outlineLevel="0" collapsed="false">
      <c r="B14" s="14" t="s">
        <v>100</v>
      </c>
      <c r="C14" s="64" t="str">
        <f aca="false">IFERROR(AVERAGEIFS(Wochenprotokoll!$D$7:$D$58,Wochenprotokoll!$D$7:$D$58,"&gt;0",Wochenprotokoll!$C$7:$C$58,"&gt;="&amp;DATE(2026,8,1),Wochenprotokoll!$C$7:$C$58,"&lt;"&amp;DATE(2026,9,1)),"—")</f>
        <v>—</v>
      </c>
      <c r="D14" s="64" t="n">
        <f aca="false">IFERROR(_xlfn.MINIFS(Wochenprotokoll!$D$7:$D$58,Wochenprotokoll!$D$7:$D$58,"&gt;0",Wochenprotokoll!$C$7:$C$58,"&gt;="&amp;DATE(2026,8,1),Wochenprotokoll!$C$7:$C$58,"&lt;"&amp;DATE(2026,9,1)),"—")</f>
        <v>0</v>
      </c>
      <c r="E14" s="64" t="n">
        <f aca="false">IFERROR(_xlfn.MAXIFS(Wochenprotokoll!$D$7:$D$58,Wochenprotokoll!$D$7:$D$58,"&gt;0",Wochenprotokoll!$C$7:$C$58,"&gt;="&amp;DATE(2026,8,1),Wochenprotokoll!$C$7:$C$58,"&lt;"&amp;DATE(2026,9,1)),"—")</f>
        <v>0</v>
      </c>
      <c r="F14" s="65" t="str">
        <f aca="false">IFERROR(C14-C13,"—")</f>
        <v>—</v>
      </c>
      <c r="G14" s="64" t="str">
        <f aca="false">IFERROR(AVERAGEIFS(Wochenprotokoll!$J$7:$J$58,Wochenprotokoll!$J$7:$J$58,"&gt;0",Wochenprotokoll!$C$7:$C$58,"&gt;="&amp;DATE(2026,8,1),Wochenprotokoll!$C$7:$C$58,"&lt;"&amp;DATE(2026,9,1)),"—")</f>
        <v>—</v>
      </c>
    </row>
    <row r="15" customFormat="false" ht="19.5" hidden="false" customHeight="true" outlineLevel="0" collapsed="false">
      <c r="B15" s="61" t="s">
        <v>101</v>
      </c>
      <c r="C15" s="62" t="str">
        <f aca="false">IFERROR(AVERAGEIFS(Wochenprotokoll!$D$7:$D$58,Wochenprotokoll!$D$7:$D$58,"&gt;0",Wochenprotokoll!$C$7:$C$58,"&gt;="&amp;DATE(2026,9,1),Wochenprotokoll!$C$7:$C$58,"&lt;"&amp;DATE(2026,10,1)),"—")</f>
        <v>—</v>
      </c>
      <c r="D15" s="62" t="n">
        <f aca="false">IFERROR(_xlfn.MINIFS(Wochenprotokoll!$D$7:$D$58,Wochenprotokoll!$D$7:$D$58,"&gt;0",Wochenprotokoll!$C$7:$C$58,"&gt;="&amp;DATE(2026,9,1),Wochenprotokoll!$C$7:$C$58,"&lt;"&amp;DATE(2026,10,1)),"—")</f>
        <v>0</v>
      </c>
      <c r="E15" s="62" t="n">
        <f aca="false">IFERROR(_xlfn.MAXIFS(Wochenprotokoll!$D$7:$D$58,Wochenprotokoll!$D$7:$D$58,"&gt;0",Wochenprotokoll!$C$7:$C$58,"&gt;="&amp;DATE(2026,9,1),Wochenprotokoll!$C$7:$C$58,"&lt;"&amp;DATE(2026,10,1)),"—")</f>
        <v>0</v>
      </c>
      <c r="F15" s="66" t="str">
        <f aca="false">IFERROR(C15-C14,"—")</f>
        <v>—</v>
      </c>
      <c r="G15" s="62" t="str">
        <f aca="false">IFERROR(AVERAGEIFS(Wochenprotokoll!$J$7:$J$58,Wochenprotokoll!$J$7:$J$58,"&gt;0",Wochenprotokoll!$C$7:$C$58,"&gt;="&amp;DATE(2026,9,1),Wochenprotokoll!$C$7:$C$58,"&lt;"&amp;DATE(2026,10,1)),"—")</f>
        <v>—</v>
      </c>
    </row>
    <row r="16" customFormat="false" ht="19.5" hidden="false" customHeight="true" outlineLevel="0" collapsed="false">
      <c r="B16" s="14" t="s">
        <v>102</v>
      </c>
      <c r="C16" s="64" t="str">
        <f aca="false">IFERROR(AVERAGEIFS(Wochenprotokoll!$D$7:$D$58,Wochenprotokoll!$D$7:$D$58,"&gt;0",Wochenprotokoll!$C$7:$C$58,"&gt;="&amp;DATE(2026,10,1),Wochenprotokoll!$C$7:$C$58,"&lt;"&amp;DATE(2026,11,1)),"—")</f>
        <v>—</v>
      </c>
      <c r="D16" s="64" t="n">
        <f aca="false">IFERROR(_xlfn.MINIFS(Wochenprotokoll!$D$7:$D$58,Wochenprotokoll!$D$7:$D$58,"&gt;0",Wochenprotokoll!$C$7:$C$58,"&gt;="&amp;DATE(2026,10,1),Wochenprotokoll!$C$7:$C$58,"&lt;"&amp;DATE(2026,11,1)),"—")</f>
        <v>0</v>
      </c>
      <c r="E16" s="64" t="n">
        <f aca="false">IFERROR(_xlfn.MAXIFS(Wochenprotokoll!$D$7:$D$58,Wochenprotokoll!$D$7:$D$58,"&gt;0",Wochenprotokoll!$C$7:$C$58,"&gt;="&amp;DATE(2026,10,1),Wochenprotokoll!$C$7:$C$58,"&lt;"&amp;DATE(2026,11,1)),"—")</f>
        <v>0</v>
      </c>
      <c r="F16" s="65" t="str">
        <f aca="false">IFERROR(C16-C15,"—")</f>
        <v>—</v>
      </c>
      <c r="G16" s="64" t="str">
        <f aca="false">IFERROR(AVERAGEIFS(Wochenprotokoll!$J$7:$J$58,Wochenprotokoll!$J$7:$J$58,"&gt;0",Wochenprotokoll!$C$7:$C$58,"&gt;="&amp;DATE(2026,10,1),Wochenprotokoll!$C$7:$C$58,"&lt;"&amp;DATE(2026,11,1)),"—")</f>
        <v>—</v>
      </c>
    </row>
    <row r="17" customFormat="false" ht="19.5" hidden="false" customHeight="true" outlineLevel="0" collapsed="false">
      <c r="B17" s="61" t="s">
        <v>103</v>
      </c>
      <c r="C17" s="62" t="str">
        <f aca="false">IFERROR(AVERAGEIFS(Wochenprotokoll!$D$7:$D$58,Wochenprotokoll!$D$7:$D$58,"&gt;0",Wochenprotokoll!$C$7:$C$58,"&gt;="&amp;DATE(2026,11,1),Wochenprotokoll!$C$7:$C$58,"&lt;"&amp;DATE(2026,12,1)),"—")</f>
        <v>—</v>
      </c>
      <c r="D17" s="62" t="n">
        <f aca="false">IFERROR(_xlfn.MINIFS(Wochenprotokoll!$D$7:$D$58,Wochenprotokoll!$D$7:$D$58,"&gt;0",Wochenprotokoll!$C$7:$C$58,"&gt;="&amp;DATE(2026,11,1),Wochenprotokoll!$C$7:$C$58,"&lt;"&amp;DATE(2026,12,1)),"—")</f>
        <v>0</v>
      </c>
      <c r="E17" s="62" t="n">
        <f aca="false">IFERROR(_xlfn.MAXIFS(Wochenprotokoll!$D$7:$D$58,Wochenprotokoll!$D$7:$D$58,"&gt;0",Wochenprotokoll!$C$7:$C$58,"&gt;="&amp;DATE(2026,11,1),Wochenprotokoll!$C$7:$C$58,"&lt;"&amp;DATE(2026,12,1)),"—")</f>
        <v>0</v>
      </c>
      <c r="F17" s="66" t="str">
        <f aca="false">IFERROR(C17-C16,"—")</f>
        <v>—</v>
      </c>
      <c r="G17" s="62" t="str">
        <f aca="false">IFERROR(AVERAGEIFS(Wochenprotokoll!$J$7:$J$58,Wochenprotokoll!$J$7:$J$58,"&gt;0",Wochenprotokoll!$C$7:$C$58,"&gt;="&amp;DATE(2026,11,1),Wochenprotokoll!$C$7:$C$58,"&lt;"&amp;DATE(2026,12,1)),"—")</f>
        <v>—</v>
      </c>
    </row>
    <row r="18" customFormat="false" ht="19.5" hidden="false" customHeight="true" outlineLevel="0" collapsed="false">
      <c r="B18" s="14" t="s">
        <v>104</v>
      </c>
      <c r="C18" s="64" t="str">
        <f aca="false">IFERROR(AVERAGEIFS(Wochenprotokoll!$D$7:$D$58,Wochenprotokoll!$D$7:$D$58,"&gt;0",Wochenprotokoll!$C$7:$C$58,"&gt;="&amp;DATE(2026,12,1),Wochenprotokoll!$C$7:$C$58,"&lt;"&amp;DATE(2026,13,1)),"—")</f>
        <v>—</v>
      </c>
      <c r="D18" s="64" t="n">
        <f aca="false">IFERROR(_xlfn.MINIFS(Wochenprotokoll!$D$7:$D$58,Wochenprotokoll!$D$7:$D$58,"&gt;0",Wochenprotokoll!$C$7:$C$58,"&gt;="&amp;DATE(2026,12,1),Wochenprotokoll!$C$7:$C$58,"&lt;"&amp;DATE(2026,13,1)),"—")</f>
        <v>0</v>
      </c>
      <c r="E18" s="64" t="n">
        <f aca="false">IFERROR(_xlfn.MAXIFS(Wochenprotokoll!$D$7:$D$58,Wochenprotokoll!$D$7:$D$58,"&gt;0",Wochenprotokoll!$C$7:$C$58,"&gt;="&amp;DATE(2026,12,1),Wochenprotokoll!$C$7:$C$58,"&lt;"&amp;DATE(2026,13,1)),"—")</f>
        <v>0</v>
      </c>
      <c r="F18" s="65" t="str">
        <f aca="false">IFERROR(C18-C17,"—")</f>
        <v>—</v>
      </c>
      <c r="G18" s="64" t="str">
        <f aca="false">IFERROR(AVERAGEIFS(Wochenprotokoll!$J$7:$J$58,Wochenprotokoll!$J$7:$J$58,"&gt;0",Wochenprotokoll!$C$7:$C$58,"&gt;="&amp;DATE(2026,12,1),Wochenprotokoll!$C$7:$C$58,"&lt;"&amp;DATE(2026,13,1)),"—")</f>
        <v>—</v>
      </c>
    </row>
    <row r="20" customFormat="false" ht="21.75" hidden="false" customHeight="true" outlineLevel="0" collapsed="false">
      <c r="B20" s="67" t="s">
        <v>105</v>
      </c>
      <c r="C20" s="68" t="n">
        <f aca="false">IFERROR(AVERAGEIF(C7:C18,"&gt;0"),"—")</f>
        <v>86.7393333333333</v>
      </c>
      <c r="D20" s="68" t="n">
        <f aca="false">IFERROR(MIN(D7:D18),"—")</f>
        <v>0</v>
      </c>
      <c r="E20" s="68" t="n">
        <f aca="false">IFERROR(MAX(E7:E18),"—")</f>
        <v>89.5</v>
      </c>
      <c r="F20" s="69" t="str">
        <f aca="false">IFERROR(C18-C7,"—")</f>
        <v>—</v>
      </c>
      <c r="G20" s="68" t="n">
        <f aca="false">IFERROR(AVERAGEIF(G7:G18,"&gt;0"),"—")</f>
        <v>4.53333333333333</v>
      </c>
    </row>
  </sheetData>
  <mergeCells count="2">
    <mergeCell ref="A1:H3"/>
    <mergeCell ref="B5:G5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2026-08-20T08:23:50Z</dcterms:created>
  <dc:creator>openpyxl</dc:creator>
  <dc:description/>
  <dc:language>en-US</dc:language>
  <cp:lastModifiedBy/>
  <dcterms:modified xsi:type="dcterms:W3CDTF">2026-08-20T08:24:00Z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