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Vorlage Cloud\Generador Excel\"/>
    </mc:Choice>
  </mc:AlternateContent>
  <xr:revisionPtr revIDLastSave="0" documentId="13_ncr:1_{B8E407BD-FC08-4BCF-BE0E-BD7FBCC4A84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ashboard" sheetId="1" r:id="rId1"/>
  </sheets>
  <definedNames>
    <definedName name="_xlnm.Print_Area" localSheetId="0">Dashboard!$A$1:$N$62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9" i="1" l="1"/>
  <c r="D59" i="1"/>
  <c r="F58" i="1"/>
  <c r="D58" i="1"/>
  <c r="F57" i="1"/>
  <c r="D57" i="1"/>
  <c r="F56" i="1"/>
  <c r="D56" i="1"/>
  <c r="F55" i="1"/>
  <c r="D55" i="1"/>
  <c r="F54" i="1"/>
  <c r="D54" i="1"/>
  <c r="F53" i="1"/>
  <c r="D53" i="1"/>
  <c r="F52" i="1"/>
  <c r="D52" i="1"/>
  <c r="F51" i="1"/>
  <c r="D51" i="1"/>
  <c r="F50" i="1"/>
  <c r="D50" i="1"/>
  <c r="F49" i="1"/>
  <c r="D49" i="1"/>
  <c r="F48" i="1"/>
  <c r="D48" i="1"/>
  <c r="F47" i="1"/>
  <c r="D47" i="1"/>
  <c r="F46" i="1"/>
  <c r="D46" i="1"/>
  <c r="F45" i="1"/>
  <c r="D45" i="1"/>
  <c r="F44" i="1"/>
  <c r="D44" i="1"/>
  <c r="F43" i="1"/>
  <c r="D43" i="1"/>
  <c r="F42" i="1"/>
  <c r="D42" i="1"/>
  <c r="F41" i="1"/>
  <c r="D41" i="1"/>
  <c r="F40" i="1"/>
  <c r="D40" i="1"/>
  <c r="F39" i="1"/>
  <c r="D39" i="1"/>
  <c r="F38" i="1"/>
  <c r="D38" i="1"/>
  <c r="F37" i="1"/>
  <c r="D37" i="1"/>
  <c r="F36" i="1"/>
  <c r="D36" i="1"/>
  <c r="F35" i="1"/>
  <c r="D35" i="1"/>
  <c r="F34" i="1"/>
  <c r="D34" i="1"/>
  <c r="F33" i="1"/>
  <c r="D33" i="1"/>
  <c r="F32" i="1"/>
  <c r="D32" i="1"/>
  <c r="F31" i="1"/>
  <c r="D31" i="1"/>
  <c r="L30" i="1"/>
  <c r="L31" i="1" s="1"/>
  <c r="F30" i="1"/>
  <c r="J30" i="1" s="1"/>
  <c r="D30" i="1"/>
  <c r="H30" i="1" s="1"/>
  <c r="B30" i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E26" i="1"/>
  <c r="D25" i="1"/>
  <c r="E25" i="1" s="1"/>
  <c r="E24" i="1"/>
  <c r="B9" i="1"/>
  <c r="E8" i="1"/>
  <c r="B8" i="1"/>
  <c r="K8" i="1" s="1"/>
  <c r="L32" i="1" l="1"/>
  <c r="J31" i="1"/>
  <c r="H31" i="1"/>
  <c r="H8" i="1"/>
  <c r="K9" i="1" s="1"/>
  <c r="J32" i="1" l="1"/>
  <c r="H32" i="1"/>
  <c r="L33" i="1"/>
  <c r="L34" i="1" l="1"/>
  <c r="J33" i="1"/>
  <c r="H33" i="1"/>
  <c r="L35" i="1" l="1"/>
  <c r="J34" i="1"/>
  <c r="H34" i="1"/>
  <c r="J35" i="1" l="1"/>
  <c r="H35" i="1"/>
  <c r="L36" i="1"/>
  <c r="H36" i="1" l="1"/>
  <c r="L37" i="1"/>
  <c r="J36" i="1"/>
  <c r="L38" i="1" l="1"/>
  <c r="J37" i="1"/>
  <c r="H37" i="1"/>
  <c r="L39" i="1" l="1"/>
  <c r="J38" i="1"/>
  <c r="H38" i="1"/>
  <c r="J39" i="1" l="1"/>
  <c r="H39" i="1"/>
  <c r="L40" i="1"/>
  <c r="L41" i="1" l="1"/>
  <c r="J40" i="1"/>
  <c r="H40" i="1"/>
  <c r="L42" i="1" l="1"/>
  <c r="J41" i="1"/>
  <c r="H41" i="1"/>
  <c r="J42" i="1" l="1"/>
  <c r="H42" i="1"/>
  <c r="L43" i="1"/>
  <c r="L44" i="1" l="1"/>
  <c r="H43" i="1"/>
  <c r="J43" i="1"/>
  <c r="L45" i="1" l="1"/>
  <c r="J44" i="1"/>
  <c r="H44" i="1"/>
  <c r="J45" i="1" l="1"/>
  <c r="H45" i="1"/>
  <c r="L46" i="1"/>
  <c r="H46" i="1" l="1"/>
  <c r="L47" i="1"/>
  <c r="J46" i="1"/>
  <c r="L48" i="1" l="1"/>
  <c r="J47" i="1"/>
  <c r="H47" i="1"/>
  <c r="L49" i="1" l="1"/>
  <c r="J48" i="1"/>
  <c r="H48" i="1"/>
  <c r="J49" i="1" l="1"/>
  <c r="H49" i="1"/>
  <c r="L50" i="1"/>
  <c r="L51" i="1" l="1"/>
  <c r="H50" i="1"/>
  <c r="J50" i="1"/>
  <c r="L52" i="1" l="1"/>
  <c r="J51" i="1"/>
  <c r="H51" i="1"/>
  <c r="J52" i="1" l="1"/>
  <c r="H52" i="1"/>
  <c r="L53" i="1"/>
  <c r="L54" i="1" l="1"/>
  <c r="H53" i="1"/>
  <c r="J53" i="1"/>
  <c r="J54" i="1" l="1"/>
  <c r="H54" i="1"/>
  <c r="L55" i="1"/>
  <c r="J55" i="1" l="1"/>
  <c r="H55" i="1"/>
  <c r="L56" i="1"/>
  <c r="H56" i="1" l="1"/>
  <c r="L57" i="1"/>
  <c r="J56" i="1"/>
  <c r="L58" i="1" l="1"/>
  <c r="J57" i="1"/>
  <c r="H57" i="1"/>
  <c r="L59" i="1" l="1"/>
  <c r="J58" i="1"/>
  <c r="H58" i="1"/>
  <c r="J59" i="1" l="1"/>
  <c r="H59" i="1"/>
</calcChain>
</file>

<file path=xl/sharedStrings.xml><?xml version="1.0" encoding="utf-8"?>
<sst xmlns="http://schemas.openxmlformats.org/spreadsheetml/2006/main" count="38" uniqueCount="38">
  <si>
    <t>∑</t>
  </si>
  <si>
    <t>Zinseszinsrechner</t>
  </si>
  <si>
    <t>STAND · GESCHÄFTSJAHR 2027</t>
  </si>
  <si>
    <t>Sparplan- &amp; Vermögensentwicklung  ·  Finanz-Dashboard</t>
  </si>
  <si>
    <t>WÄHRUNG · EUR</t>
  </si>
  <si>
    <t>MODELL · REGELMÄSSIGER SPARPLAN</t>
  </si>
  <si>
    <t>GESAMTVERMÖGEN</t>
  </si>
  <si>
    <t>EINGEZAHLTES KAPITAL</t>
  </si>
  <si>
    <t>ZINSERTRAG</t>
  </si>
  <si>
    <t>RENDITE-FAKTOR</t>
  </si>
  <si>
    <t>Startkapital + Sparraten</t>
  </si>
  <si>
    <t>reiner Zinseszins-Gewinn</t>
  </si>
  <si>
    <t>PARAMETER</t>
  </si>
  <si>
    <t>Eingabefelder</t>
  </si>
  <si>
    <t>Startkapital</t>
  </si>
  <si>
    <t>Sparrate (je Monat)</t>
  </si>
  <si>
    <t>Zahlungen pro Jahr</t>
  </si>
  <si>
    <t>Zinssatz p. a.</t>
  </si>
  <si>
    <t>Anlagehorizont (J.)</t>
  </si>
  <si>
    <t>Startjahr</t>
  </si>
  <si>
    <t>Hinterlegte Felder sind editierbar.</t>
  </si>
  <si>
    <t>SZENARIEN</t>
  </si>
  <si>
    <t>Zinssatz-Sensitivität</t>
  </si>
  <si>
    <t>Szenario</t>
  </si>
  <si>
    <t>Zins</t>
  </si>
  <si>
    <t>Vermögen</t>
  </si>
  <si>
    <t>Defensiv</t>
  </si>
  <si>
    <t>Basis</t>
  </si>
  <si>
    <t>Chancenreich</t>
  </si>
  <si>
    <t>ENTWICKLUNG ÜBER 30 JAHRE</t>
  </si>
  <si>
    <t>Projektion bei konstanter Sparrate und konstantem Zinssatz</t>
  </si>
  <si>
    <t>Jahr</t>
  </si>
  <si>
    <t>Sparbeitrag p. a.</t>
  </si>
  <si>
    <t>Eingezahlt (kum.)</t>
  </si>
  <si>
    <t>Zinsertrag p. a.</t>
  </si>
  <si>
    <t>Zinsen (kum.)</t>
  </si>
  <si>
    <t>Kapital (Jahresende)</t>
  </si>
  <si>
    <t>Vorlage zur privaten Finanzplanung – ohne Gewähr. Zinssätze sind Annahmen und keine Zusicherung künftiger Erträge; Steuern, Inflation und Gebühren sind nicht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</si>
</sst>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0.00\×"/>
    <numFmt numFmtId="166" formatCode="0.0%"/>
  </numFmts>
  <fonts count="25" x14ac:knownFonts="1">
    <font>
      <sz val="11"/>
      <color theme="1"/>
      <name val="Calibri"/>
      <family val="2"/>
      <charset val="1"/>
    </font>
    <font>
      <b/>
      <sz val="26"/>
      <color rgb="FFA9853F"/>
      <name val="Calibri"/>
      <charset val="1"/>
    </font>
    <font>
      <b/>
      <sz val="24"/>
      <color rgb="FF1B2A3A"/>
      <name val="Calibri"/>
      <charset val="1"/>
    </font>
    <font>
      <b/>
      <sz val="8.5"/>
      <color rgb="FF8B8574"/>
      <name val="Calibri"/>
      <charset val="1"/>
    </font>
    <font>
      <sz val="10.5"/>
      <color rgb="FF8B8574"/>
      <name val="Calibri"/>
      <charset val="1"/>
    </font>
    <font>
      <b/>
      <sz val="8.5"/>
      <color rgb="FFA9853F"/>
      <name val="Calibri"/>
      <charset val="1"/>
    </font>
    <font>
      <b/>
      <sz val="19"/>
      <color rgb="FFFFFFFF"/>
      <name val="Calibri"/>
      <charset val="1"/>
    </font>
    <font>
      <b/>
      <sz val="17"/>
      <color rgb="FF1B2A3A"/>
      <name val="Calibri"/>
      <charset val="1"/>
    </font>
    <font>
      <i/>
      <sz val="8.5"/>
      <color rgb="FFC7D0DA"/>
      <name val="Calibri"/>
      <charset val="1"/>
    </font>
    <font>
      <i/>
      <sz val="8.5"/>
      <color rgb="FF8B8574"/>
      <name val="Calibri"/>
      <charset val="1"/>
    </font>
    <font>
      <b/>
      <sz val="10"/>
      <color rgb="FF1B2A3A"/>
      <name val="Calibri"/>
      <charset val="1"/>
    </font>
    <font>
      <sz val="8.5"/>
      <color rgb="FF8B8574"/>
      <name val="Calibri"/>
      <charset val="1"/>
    </font>
    <font>
      <sz val="10"/>
      <color rgb="FF202832"/>
      <name val="Calibri"/>
      <charset val="1"/>
    </font>
    <font>
      <b/>
      <sz val="11"/>
      <color rgb="FF1B2A3A"/>
      <name val="Calibri"/>
      <charset val="1"/>
    </font>
    <font>
      <i/>
      <sz val="8"/>
      <color rgb="FF8B8574"/>
      <name val="Calibri"/>
      <charset val="1"/>
    </font>
    <font>
      <sz val="9.5"/>
      <color rgb="FF202832"/>
      <name val="Calibri"/>
      <charset val="1"/>
    </font>
    <font>
      <b/>
      <sz val="9.5"/>
      <color rgb="FF8A6B2E"/>
      <name val="Calibri"/>
      <charset val="1"/>
    </font>
    <font>
      <sz val="9.5"/>
      <color rgb="FF1B2A3A"/>
      <name val="Calibri"/>
      <charset val="1"/>
    </font>
    <font>
      <b/>
      <sz val="9.5"/>
      <color rgb="FF202832"/>
      <name val="Calibri"/>
      <charset val="1"/>
    </font>
    <font>
      <b/>
      <sz val="9.5"/>
      <color rgb="FF1B2A3A"/>
      <name val="Calibri"/>
      <charset val="1"/>
    </font>
    <font>
      <b/>
      <sz val="9"/>
      <color rgb="FF1B2A3A"/>
      <name val="Calibri"/>
      <charset val="1"/>
    </font>
    <font>
      <sz val="9"/>
      <color rgb="FF202832"/>
      <name val="Calibri"/>
      <charset val="1"/>
    </font>
    <font>
      <sz val="9"/>
      <color rgb="FF8A6B2E"/>
      <name val="Calibri"/>
      <charset val="1"/>
    </font>
    <font>
      <b/>
      <sz val="9"/>
      <color rgb="FF202832"/>
      <name val="Calibri"/>
      <charset val="1"/>
    </font>
    <font>
      <b/>
      <sz val="9"/>
      <color rgb="FF8A6B2E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FAF7F0"/>
        <bgColor rgb="FFFFFFFF"/>
      </patternFill>
    </fill>
    <fill>
      <patternFill patternType="solid">
        <fgColor rgb="FF1B2A3A"/>
        <bgColor rgb="FF202832"/>
      </patternFill>
    </fill>
    <fill>
      <patternFill patternType="solid">
        <fgColor rgb="FFFFFFFF"/>
        <bgColor rgb="FFFAF7F0"/>
      </patternFill>
    </fill>
    <fill>
      <patternFill patternType="solid">
        <fgColor rgb="FFF1E8D6"/>
        <bgColor rgb="FFFAF7F0"/>
      </patternFill>
    </fill>
    <fill>
      <patternFill patternType="solid">
        <fgColor rgb="FFFAF7F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A9853F"/>
      </bottom>
      <diagonal/>
    </border>
    <border>
      <left/>
      <right/>
      <top style="medium">
        <color rgb="FFA9853F"/>
      </top>
      <bottom/>
      <diagonal/>
    </border>
    <border>
      <left style="thin">
        <color rgb="FFD9D2C3"/>
      </left>
      <right/>
      <top style="medium">
        <color rgb="FFA9853F"/>
      </top>
      <bottom/>
      <diagonal/>
    </border>
    <border>
      <left style="thin">
        <color rgb="FFD9D2C3"/>
      </left>
      <right/>
      <top/>
      <bottom/>
      <diagonal/>
    </border>
    <border>
      <left/>
      <right/>
      <top/>
      <bottom style="thin">
        <color rgb="FFB9AF98"/>
      </bottom>
      <diagonal/>
    </border>
    <border>
      <left/>
      <right/>
      <top/>
      <bottom style="thin">
        <color rgb="FFD9D2C3"/>
      </bottom>
      <diagonal/>
    </border>
    <border>
      <left/>
      <right/>
      <top/>
      <bottom style="double">
        <color rgb="FF1B2A3A"/>
      </bottom>
      <diagonal/>
    </border>
    <border>
      <left/>
      <right/>
      <top/>
      <bottom style="medium">
        <color rgb="FF1B2A3A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13" fillId="5" borderId="6" xfId="0" applyNumberFormat="1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165" fontId="7" fillId="4" borderId="4" xfId="0" applyNumberFormat="1" applyFont="1" applyFill="1" applyBorder="1" applyAlignment="1">
      <alignment horizontal="left" vertical="center"/>
    </xf>
    <xf numFmtId="164" fontId="7" fillId="4" borderId="4" xfId="0" applyNumberFormat="1" applyFont="1" applyFill="1" applyBorder="1" applyAlignment="1">
      <alignment horizontal="left" vertical="center"/>
    </xf>
    <xf numFmtId="164" fontId="6" fillId="3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10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0" fillId="2" borderId="5" xfId="0" applyFill="1" applyBorder="1"/>
    <xf numFmtId="0" fontId="14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6" xfId="0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right" vertical="center"/>
    </xf>
    <xf numFmtId="166" fontId="16" fillId="5" borderId="6" xfId="0" applyNumberFormat="1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right" vertical="center"/>
    </xf>
    <xf numFmtId="166" fontId="18" fillId="5" borderId="6" xfId="0" applyNumberFormat="1" applyFont="1" applyFill="1" applyBorder="1" applyAlignment="1">
      <alignment horizontal="center" vertical="center"/>
    </xf>
    <xf numFmtId="164" fontId="19" fillId="5" borderId="6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1" fontId="13" fillId="5" borderId="6" xfId="0" applyNumberFormat="1" applyFont="1" applyFill="1" applyBorder="1" applyAlignment="1">
      <alignment horizontal="right" vertical="center"/>
    </xf>
    <xf numFmtId="166" fontId="13" fillId="5" borderId="6" xfId="0" applyNumberFormat="1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left" vertical="center"/>
    </xf>
    <xf numFmtId="0" fontId="18" fillId="5" borderId="6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right" vertical="center"/>
    </xf>
    <xf numFmtId="0" fontId="20" fillId="2" borderId="7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right" vertical="center"/>
    </xf>
    <xf numFmtId="1" fontId="21" fillId="2" borderId="6" xfId="0" applyNumberFormat="1" applyFont="1" applyFill="1" applyBorder="1" applyAlignment="1">
      <alignment horizontal="left" vertical="center"/>
    </xf>
    <xf numFmtId="164" fontId="21" fillId="2" borderId="6" xfId="0" applyNumberFormat="1" applyFont="1" applyFill="1" applyBorder="1" applyAlignment="1">
      <alignment horizontal="right" vertical="center"/>
    </xf>
    <xf numFmtId="164" fontId="22" fillId="2" borderId="6" xfId="0" applyNumberFormat="1" applyFont="1" applyFill="1" applyBorder="1" applyAlignment="1">
      <alignment horizontal="right" vertical="center"/>
    </xf>
    <xf numFmtId="1" fontId="20" fillId="2" borderId="5" xfId="0" applyNumberFormat="1" applyFont="1" applyFill="1" applyBorder="1" applyAlignment="1">
      <alignment horizontal="left" vertical="center"/>
    </xf>
    <xf numFmtId="164" fontId="23" fillId="2" borderId="5" xfId="0" applyNumberFormat="1" applyFont="1" applyFill="1" applyBorder="1" applyAlignment="1">
      <alignment horizontal="right" vertical="center"/>
    </xf>
    <xf numFmtId="164" fontId="24" fillId="2" borderId="5" xfId="0" applyNumberFormat="1" applyFont="1" applyFill="1" applyBorder="1" applyAlignment="1">
      <alignment horizontal="right" vertical="center"/>
    </xf>
    <xf numFmtId="164" fontId="20" fillId="2" borderId="5" xfId="0" applyNumberFormat="1" applyFont="1" applyFill="1" applyBorder="1" applyAlignment="1">
      <alignment horizontal="right" vertical="center"/>
    </xf>
    <xf numFmtId="1" fontId="20" fillId="2" borderId="8" xfId="0" applyNumberFormat="1" applyFont="1" applyFill="1" applyBorder="1" applyAlignment="1">
      <alignment horizontal="left" vertical="center"/>
    </xf>
    <xf numFmtId="164" fontId="23" fillId="2" borderId="8" xfId="0" applyNumberFormat="1" applyFont="1" applyFill="1" applyBorder="1" applyAlignment="1">
      <alignment horizontal="right" vertical="center"/>
    </xf>
    <xf numFmtId="164" fontId="24" fillId="2" borderId="8" xfId="0" applyNumberFormat="1" applyFont="1" applyFill="1" applyBorder="1" applyAlignment="1">
      <alignment horizontal="right" vertical="center"/>
    </xf>
    <xf numFmtId="164" fontId="20" fillId="2" borderId="8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 vertical="center" wrapText="1"/>
    </xf>
    <xf numFmtId="0" fontId="0" fillId="6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B2E"/>
      <rgbColor rgb="FF800080"/>
      <rgbColor rgb="FF008080"/>
      <rgbColor rgb="FFB9AF98"/>
      <rgbColor rgb="FF878787"/>
      <rgbColor rgb="FF9999FF"/>
      <rgbColor rgb="FF993366"/>
      <rgbColor rgb="FFFAF7F0"/>
      <rgbColor rgb="FFD9D9D9"/>
      <rgbColor rgb="FF660066"/>
      <rgbColor rgb="FFA9853F"/>
      <rgbColor rgb="FF0066CC"/>
      <rgbColor rgb="FFC7D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1E8D6"/>
      <rgbColor rgb="FFFFFF99"/>
      <rgbColor rgb="FF99CCFF"/>
      <rgbColor rgb="FFFF99CC"/>
      <rgbColor rgb="FFCC99FF"/>
      <rgbColor rgb="FFD9D2C3"/>
      <rgbColor rgb="FF3366FF"/>
      <rgbColor rgb="FF33CCCC"/>
      <rgbColor rgb="FF99CC00"/>
      <rgbColor rgb="FFFFCC00"/>
      <rgbColor rgb="FFFF9900"/>
      <rgbColor rgb="FFFF6600"/>
      <rgbColor rgb="FF666699"/>
      <rgbColor rgb="FF8B8574"/>
      <rgbColor rgb="FF1B2A3A"/>
      <rgbColor rgb="FF339966"/>
      <rgbColor rgb="FF003300"/>
      <rgbColor rgb="FF202832"/>
      <rgbColor rgb="FF993300"/>
      <rgbColor rgb="FF993366"/>
      <rgbColor rgb="FF333399"/>
      <rgbColor rgb="FF2A3D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F7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Vermögensaufbau: Kapital vs. Zinseszins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areaChart>
        <c:grouping val="stacked"/>
        <c:varyColors val="1"/>
        <c:ser>
          <c:idx val="0"/>
          <c:order val="0"/>
          <c:tx>
            <c:v>Eingezahltes Kapital</c:v>
          </c:tx>
          <c:spPr>
            <a:solidFill>
              <a:srgbClr val="2A3D50"/>
            </a:solidFill>
            <a:ln w="0">
              <a:solidFill>
                <a:srgbClr val="2A3D50"/>
              </a:solidFill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Dashboard!$B$30:$B$59</c:f>
              <c:numCache>
                <c:formatCode>0</c:formatCode>
                <c:ptCount val="3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</c:numCache>
            </c:numRef>
          </c:cat>
          <c:val>
            <c:numRef>
              <c:f>Dashboard!$F$30:$F$59</c:f>
              <c:numCache>
                <c:formatCode>#,##0" €"</c:formatCode>
                <c:ptCount val="30"/>
                <c:pt idx="0">
                  <c:v>29800</c:v>
                </c:pt>
                <c:pt idx="1">
                  <c:v>34600</c:v>
                </c:pt>
                <c:pt idx="2">
                  <c:v>39400</c:v>
                </c:pt>
                <c:pt idx="3">
                  <c:v>44200</c:v>
                </c:pt>
                <c:pt idx="4">
                  <c:v>49000</c:v>
                </c:pt>
                <c:pt idx="5">
                  <c:v>53800</c:v>
                </c:pt>
                <c:pt idx="6">
                  <c:v>58600</c:v>
                </c:pt>
                <c:pt idx="7">
                  <c:v>63400</c:v>
                </c:pt>
                <c:pt idx="8">
                  <c:v>68200</c:v>
                </c:pt>
                <c:pt idx="9">
                  <c:v>73000</c:v>
                </c:pt>
                <c:pt idx="10">
                  <c:v>77800</c:v>
                </c:pt>
                <c:pt idx="11">
                  <c:v>82600</c:v>
                </c:pt>
                <c:pt idx="12">
                  <c:v>87400</c:v>
                </c:pt>
                <c:pt idx="13">
                  <c:v>92200</c:v>
                </c:pt>
                <c:pt idx="14">
                  <c:v>97000</c:v>
                </c:pt>
                <c:pt idx="15">
                  <c:v>101800</c:v>
                </c:pt>
                <c:pt idx="16">
                  <c:v>106600</c:v>
                </c:pt>
                <c:pt idx="17">
                  <c:v>111400</c:v>
                </c:pt>
                <c:pt idx="18">
                  <c:v>116200</c:v>
                </c:pt>
                <c:pt idx="19">
                  <c:v>121000</c:v>
                </c:pt>
                <c:pt idx="20">
                  <c:v>125800</c:v>
                </c:pt>
                <c:pt idx="21">
                  <c:v>130600</c:v>
                </c:pt>
                <c:pt idx="22">
                  <c:v>135400</c:v>
                </c:pt>
                <c:pt idx="23">
                  <c:v>140200</c:v>
                </c:pt>
                <c:pt idx="24">
                  <c:v>145000</c:v>
                </c:pt>
                <c:pt idx="25">
                  <c:v>149800</c:v>
                </c:pt>
                <c:pt idx="26">
                  <c:v>154600</c:v>
                </c:pt>
                <c:pt idx="27">
                  <c:v>159400</c:v>
                </c:pt>
                <c:pt idx="28">
                  <c:v>164200</c:v>
                </c:pt>
                <c:pt idx="29">
                  <c:v>169000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9-4E9E-8D04-9CEC789EE4BC}"/>
            </c:ext>
          </c:extLst>
        </c:ser>
        <c:ser>
          <c:idx val="1"/>
          <c:order val="1"/>
          <c:tx>
            <c:v>Zinseszins</c:v>
          </c:tx>
          <c:spPr>
            <a:solidFill>
              <a:srgbClr val="A9853F"/>
            </a:solidFill>
            <a:ln w="0">
              <a:solidFill>
                <a:srgbClr val="8A6B2E"/>
              </a:solidFill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Dashboard!$B$30:$B$59</c:f>
              <c:numCache>
                <c:formatCode>0</c:formatCode>
                <c:ptCount val="3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</c:numCache>
            </c:numRef>
          </c:cat>
          <c:val>
            <c:numRef>
              <c:f>Dashboard!$J$30:$J$59</c:f>
              <c:numCache>
                <c:formatCode>#,##0" €"</c:formatCode>
                <c:ptCount val="30"/>
                <c:pt idx="0">
                  <c:v>1676.1702457722495</c:v>
                </c:pt>
                <c:pt idx="1">
                  <c:v>3751.7765015656914</c:v>
                </c:pt>
                <c:pt idx="2">
                  <c:v>6251.4551064583356</c:v>
                </c:pt>
                <c:pt idx="3">
                  <c:v>9201.3619150148443</c:v>
                </c:pt>
                <c:pt idx="4">
                  <c:v>12629.266017676884</c:v>
                </c:pt>
                <c:pt idx="5">
                  <c:v>16564.649241622043</c:v>
                </c:pt>
                <c:pt idx="6">
                  <c:v>21038.811788617983</c:v>
                </c:pt>
                <c:pt idx="7">
                  <c:v>26084.9843883883</c:v>
                </c:pt>
                <c:pt idx="8">
                  <c:v>31738.447369352623</c:v>
                </c:pt>
                <c:pt idx="9">
                  <c:v>38036.65707338936</c:v>
                </c:pt>
                <c:pt idx="10">
                  <c:v>45019.38006758441</c:v>
                </c:pt>
                <c:pt idx="11">
                  <c:v>52728.835633866925</c:v>
                </c:pt>
                <c:pt idx="12">
                  <c:v>61209.847047093906</c:v>
                </c:pt>
                <c:pt idx="13">
                  <c:v>70510.002183636127</c:v>
                </c:pt>
                <c:pt idx="14">
                  <c:v>80679.824035950238</c:v>
                </c:pt>
                <c:pt idx="15">
                  <c:v>91772.951744116435</c:v>
                </c:pt>
                <c:pt idx="16">
                  <c:v>103846.33279300533</c:v>
                </c:pt>
                <c:pt idx="17">
                  <c:v>116960.42706374556</c:v>
                </c:pt>
                <c:pt idx="18">
                  <c:v>131179.42347063939</c:v>
                </c:pt>
                <c:pt idx="19">
                  <c:v>146571.46995976922</c:v>
                </c:pt>
                <c:pt idx="20">
                  <c:v>163208.91769341478</c:v>
                </c:pt>
                <c:pt idx="21">
                  <c:v>181168.58029523114</c:v>
                </c:pt>
                <c:pt idx="22">
                  <c:v>200532.00908510177</c:v>
                </c:pt>
                <c:pt idx="23">
                  <c:v>221385.78528987523</c:v>
                </c:pt>
                <c:pt idx="24">
                  <c:v>243821.83027702064</c:v>
                </c:pt>
                <c:pt idx="25">
                  <c:v>267937.73492281616</c:v>
                </c:pt>
                <c:pt idx="26">
                  <c:v>293837.10929524683</c:v>
                </c:pt>
                <c:pt idx="27">
                  <c:v>321629.95390457805</c:v>
                </c:pt>
                <c:pt idx="28">
                  <c:v>351433.05385185243</c:v>
                </c:pt>
                <c:pt idx="29">
                  <c:v>383370.39728760312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D9-4E9E-8D04-9CEC789EE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00897"/>
        <c:axId val="32105360"/>
      </c:areaChart>
      <c:catAx>
        <c:axId val="1810089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Jahr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2105360"/>
        <c:crosses val="autoZero"/>
        <c:auto val="1"/>
        <c:lblAlgn val="ctr"/>
        <c:lblOffset val="100"/>
        <c:noMultiLvlLbl val="0"/>
      </c:catAx>
      <c:valAx>
        <c:axId val="32105360"/>
        <c:scaling>
          <c:orientation val="minMax"/>
        </c:scaling>
        <c:delete val="0"/>
        <c:axPos val="l"/>
        <c:majorGridlines>
          <c:spPr>
            <a:ln w="9360">
              <a:solidFill>
                <a:srgbClr val="D9D2C3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8100897"/>
        <c:crosses val="autoZero"/>
        <c:crossBetween val="midCat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12</xdr:row>
      <xdr:rowOff>0</xdr:rowOff>
    </xdr:from>
    <xdr:to>
      <xdr:col>12</xdr:col>
      <xdr:colOff>762000</xdr:colOff>
      <xdr:row>26</xdr:row>
      <xdr:rowOff>9300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67"/>
  <sheetViews>
    <sheetView showGridLines="0" tabSelected="1" zoomScaleNormal="100" workbookViewId="0">
      <selection activeCell="S73" sqref="S73"/>
    </sheetView>
  </sheetViews>
  <sheetFormatPr baseColWidth="10" defaultColWidth="8.7109375" defaultRowHeight="15" x14ac:dyDescent="0.25"/>
  <cols>
    <col min="1" max="1" width="2.42578125" customWidth="1"/>
    <col min="2" max="13" width="12.140625" customWidth="1"/>
    <col min="14" max="14" width="2.42578125" customWidth="1"/>
    <col min="15" max="42" width="8.7109375" style="49"/>
  </cols>
  <sheetData>
    <row r="1" spans="1:14" ht="7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5.5" customHeight="1" x14ac:dyDescent="0.25">
      <c r="A2" s="15"/>
      <c r="B2" s="14" t="s">
        <v>0</v>
      </c>
      <c r="C2" s="13" t="s">
        <v>1</v>
      </c>
      <c r="D2" s="13"/>
      <c r="E2" s="13"/>
      <c r="F2" s="13"/>
      <c r="G2" s="13"/>
      <c r="H2" s="13"/>
      <c r="I2" s="15"/>
      <c r="J2" s="12" t="s">
        <v>2</v>
      </c>
      <c r="K2" s="12"/>
      <c r="L2" s="12"/>
      <c r="M2" s="12"/>
      <c r="N2" s="15"/>
    </row>
    <row r="3" spans="1:14" ht="19.5" customHeight="1" x14ac:dyDescent="0.25">
      <c r="A3" s="15"/>
      <c r="B3" s="14"/>
      <c r="C3" s="11" t="s">
        <v>3</v>
      </c>
      <c r="D3" s="11"/>
      <c r="E3" s="11"/>
      <c r="F3" s="11"/>
      <c r="G3" s="11"/>
      <c r="H3" s="11"/>
      <c r="I3" s="15"/>
      <c r="J3" s="12" t="s">
        <v>4</v>
      </c>
      <c r="K3" s="12"/>
      <c r="L3" s="12"/>
      <c r="M3" s="12"/>
      <c r="N3" s="15"/>
    </row>
    <row r="4" spans="1:14" ht="9.75" customHeight="1" x14ac:dyDescent="0.25">
      <c r="A4" s="15"/>
      <c r="B4" s="14"/>
      <c r="C4" s="16"/>
      <c r="D4" s="16"/>
      <c r="E4" s="16"/>
      <c r="F4" s="16"/>
      <c r="G4" s="16"/>
      <c r="H4" s="16"/>
      <c r="I4" s="16"/>
      <c r="J4" s="10" t="s">
        <v>5</v>
      </c>
      <c r="K4" s="10"/>
      <c r="L4" s="10"/>
      <c r="M4" s="10"/>
      <c r="N4" s="15"/>
    </row>
    <row r="5" spans="1:14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6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" customHeight="1" x14ac:dyDescent="0.25">
      <c r="A7" s="15"/>
      <c r="B7" s="9" t="s">
        <v>6</v>
      </c>
      <c r="C7" s="9"/>
      <c r="D7" s="9"/>
      <c r="E7" s="8" t="s">
        <v>7</v>
      </c>
      <c r="F7" s="8"/>
      <c r="G7" s="8"/>
      <c r="H7" s="8" t="s">
        <v>8</v>
      </c>
      <c r="I7" s="8"/>
      <c r="J7" s="8"/>
      <c r="K7" s="8" t="s">
        <v>9</v>
      </c>
      <c r="L7" s="8"/>
      <c r="M7" s="8"/>
      <c r="N7" s="15"/>
    </row>
    <row r="8" spans="1:14" ht="30" customHeight="1" x14ac:dyDescent="0.25">
      <c r="A8" s="15"/>
      <c r="B8" s="7">
        <f>IF($D$17=0,$D$14+$D$15*$D$16*$D$18,$D$14*(1+$D$17/$D$16)^($D$16*$D$18)+$D$15*(((1+$D$17/$D$16)^($D$16*$D$18)-1)/($D$17/$D$16)))</f>
        <v>388821.83027702069</v>
      </c>
      <c r="C8" s="7"/>
      <c r="D8" s="7"/>
      <c r="E8" s="6">
        <f>$D$14+$D$15*$D$16*$D$18</f>
        <v>145000</v>
      </c>
      <c r="F8" s="6"/>
      <c r="G8" s="6"/>
      <c r="H8" s="6">
        <f>B8-E8</f>
        <v>243821.83027702069</v>
      </c>
      <c r="I8" s="6"/>
      <c r="J8" s="6"/>
      <c r="K8" s="5">
        <f>IFERROR(B8/E8,0)</f>
        <v>2.6815298639794531</v>
      </c>
      <c r="L8" s="5"/>
      <c r="M8" s="5"/>
      <c r="N8" s="15"/>
    </row>
    <row r="9" spans="1:14" ht="13.5" customHeight="1" x14ac:dyDescent="0.25">
      <c r="A9" s="15"/>
      <c r="B9" s="4" t="str">
        <f>"nach "&amp;$D$18&amp;" Jahren"</f>
        <v>nach 25 Jahren</v>
      </c>
      <c r="C9" s="4"/>
      <c r="D9" s="4"/>
      <c r="E9" s="3" t="s">
        <v>10</v>
      </c>
      <c r="F9" s="3"/>
      <c r="G9" s="3"/>
      <c r="H9" s="3" t="s">
        <v>11</v>
      </c>
      <c r="I9" s="3"/>
      <c r="J9" s="3"/>
      <c r="K9" s="3" t="str">
        <f>"Zinsanteil "&amp;TEXT(IFERROR(H8/B8,0),"0 %")</f>
        <v>Zinsanteil 63 %</v>
      </c>
      <c r="L9" s="3"/>
      <c r="M9" s="3"/>
      <c r="N9" s="15"/>
    </row>
    <row r="10" spans="1:14" ht="6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7.5" customHeight="1" x14ac:dyDescent="0.25">
      <c r="A12" s="15"/>
      <c r="B12" s="17" t="s">
        <v>12</v>
      </c>
      <c r="C12" s="18" t="s">
        <v>13</v>
      </c>
      <c r="D12" s="19"/>
      <c r="E12" s="19"/>
      <c r="F12" s="15"/>
      <c r="G12" s="15"/>
      <c r="H12" s="15"/>
      <c r="I12" s="15"/>
      <c r="J12" s="15"/>
      <c r="K12" s="15"/>
      <c r="L12" s="15"/>
      <c r="M12" s="15"/>
      <c r="N12" s="15"/>
    </row>
    <row r="13" spans="1:14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9.5" customHeight="1" x14ac:dyDescent="0.25">
      <c r="A14" s="15"/>
      <c r="B14" s="2" t="s">
        <v>14</v>
      </c>
      <c r="C14" s="2"/>
      <c r="D14" s="1">
        <v>25000</v>
      </c>
      <c r="E14" s="1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9.5" customHeight="1" x14ac:dyDescent="0.25">
      <c r="A15" s="15"/>
      <c r="B15" s="2" t="s">
        <v>15</v>
      </c>
      <c r="C15" s="2"/>
      <c r="D15" s="1">
        <v>400</v>
      </c>
      <c r="E15" s="1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9.5" customHeight="1" x14ac:dyDescent="0.25">
      <c r="A16" s="15"/>
      <c r="B16" s="2" t="s">
        <v>16</v>
      </c>
      <c r="C16" s="2"/>
      <c r="D16" s="30">
        <v>12</v>
      </c>
      <c r="E16" s="30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9.5" customHeight="1" x14ac:dyDescent="0.25">
      <c r="A17" s="15"/>
      <c r="B17" s="2" t="s">
        <v>17</v>
      </c>
      <c r="C17" s="2"/>
      <c r="D17" s="31">
        <v>0.06</v>
      </c>
      <c r="E17" s="31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9.5" customHeight="1" x14ac:dyDescent="0.25">
      <c r="A18" s="15"/>
      <c r="B18" s="2" t="s">
        <v>18</v>
      </c>
      <c r="C18" s="2"/>
      <c r="D18" s="30">
        <v>25</v>
      </c>
      <c r="E18" s="30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19.5" customHeight="1" x14ac:dyDescent="0.25">
      <c r="A19" s="15"/>
      <c r="B19" s="2" t="s">
        <v>19</v>
      </c>
      <c r="C19" s="2"/>
      <c r="D19" s="30">
        <v>2027</v>
      </c>
      <c r="E19" s="30"/>
      <c r="F19" s="15"/>
      <c r="G19" s="15"/>
      <c r="H19" s="15"/>
      <c r="I19" s="15"/>
      <c r="J19" s="15"/>
      <c r="K19" s="15"/>
      <c r="L19" s="15"/>
      <c r="M19" s="15"/>
      <c r="N19" s="15"/>
    </row>
    <row r="20" spans="1:14" x14ac:dyDescent="0.25">
      <c r="A20" s="15"/>
      <c r="B20" s="20" t="s">
        <v>20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7.5" customHeight="1" x14ac:dyDescent="0.25">
      <c r="A22" s="15"/>
      <c r="B22" s="17" t="s">
        <v>21</v>
      </c>
      <c r="C22" s="18" t="s">
        <v>22</v>
      </c>
      <c r="D22" s="19"/>
      <c r="E22" s="19"/>
      <c r="F22" s="15"/>
      <c r="G22" s="15"/>
      <c r="H22" s="15"/>
      <c r="I22" s="15"/>
      <c r="J22" s="15"/>
      <c r="K22" s="15"/>
      <c r="L22" s="15"/>
      <c r="M22" s="15"/>
      <c r="N22" s="15"/>
    </row>
    <row r="23" spans="1:14" x14ac:dyDescent="0.25">
      <c r="A23" s="15"/>
      <c r="B23" s="21" t="s">
        <v>23</v>
      </c>
      <c r="C23" s="22"/>
      <c r="D23" s="23" t="s">
        <v>24</v>
      </c>
      <c r="E23" s="24" t="s">
        <v>25</v>
      </c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8" customHeight="1" x14ac:dyDescent="0.25">
      <c r="A24" s="15"/>
      <c r="B24" s="32" t="s">
        <v>26</v>
      </c>
      <c r="C24" s="32"/>
      <c r="D24" s="25">
        <v>0.03</v>
      </c>
      <c r="E24" s="26">
        <f>IF(D24=0,$D$14+$D$15*$D$16*$D$18,$D$14*(1+D24/$D$16)^($D$16*$D$18)+$D$15*(((1+D24/$D$16)^($D$16*$D$18)-1)/(D24/$D$16)))</f>
        <v>231278.61816713592</v>
      </c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8" customHeight="1" x14ac:dyDescent="0.25">
      <c r="A25" s="15"/>
      <c r="B25" s="33" t="s">
        <v>27</v>
      </c>
      <c r="C25" s="33"/>
      <c r="D25" s="27">
        <f>$D$17</f>
        <v>0.06</v>
      </c>
      <c r="E25" s="28">
        <f>IF(D25=0,$D$14+$D$15*$D$16*$D$18,$D$14*(1+D25/$D$16)^($D$16*$D$18)+$D$15*(((1+D25/$D$16)^($D$16*$D$18)-1)/(D25/$D$16)))</f>
        <v>388821.83027702069</v>
      </c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8" customHeight="1" x14ac:dyDescent="0.25">
      <c r="A26" s="15"/>
      <c r="B26" s="32" t="s">
        <v>28</v>
      </c>
      <c r="C26" s="32"/>
      <c r="D26" s="25">
        <v>0.09</v>
      </c>
      <c r="E26" s="26">
        <f>IF(D26=0,$D$14+$D$15*$D$16*$D$18,$D$14*(1+D26/$D$16)^($D$16*$D$18)+$D$15*(((1+D26/$D$16)^($D$16*$D$18)-1)/(D26/$D$16)))</f>
        <v>683659.13817423477</v>
      </c>
      <c r="F26" s="15"/>
      <c r="G26" s="15"/>
      <c r="H26" s="15"/>
      <c r="I26" s="15"/>
      <c r="J26" s="15"/>
      <c r="K26" s="15"/>
      <c r="L26" s="15"/>
      <c r="M26" s="15"/>
      <c r="N26" s="15"/>
    </row>
    <row r="27" spans="1:14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7.5" customHeight="1" x14ac:dyDescent="0.25">
      <c r="A28" s="15"/>
      <c r="B28" s="29" t="s">
        <v>29</v>
      </c>
      <c r="C28" s="16"/>
      <c r="D28" s="16"/>
      <c r="E28" s="16"/>
      <c r="F28" s="16"/>
      <c r="G28" s="16"/>
      <c r="H28" s="34" t="s">
        <v>30</v>
      </c>
      <c r="I28" s="34"/>
      <c r="J28" s="34"/>
      <c r="K28" s="34"/>
      <c r="L28" s="34"/>
      <c r="M28" s="34"/>
      <c r="N28" s="15"/>
    </row>
    <row r="29" spans="1:14" ht="19.5" customHeight="1" x14ac:dyDescent="0.25">
      <c r="A29" s="15"/>
      <c r="B29" s="35" t="s">
        <v>31</v>
      </c>
      <c r="C29" s="35"/>
      <c r="D29" s="36" t="s">
        <v>32</v>
      </c>
      <c r="E29" s="36"/>
      <c r="F29" s="36" t="s">
        <v>33</v>
      </c>
      <c r="G29" s="36"/>
      <c r="H29" s="36" t="s">
        <v>34</v>
      </c>
      <c r="I29" s="36"/>
      <c r="J29" s="36" t="s">
        <v>35</v>
      </c>
      <c r="K29" s="36"/>
      <c r="L29" s="36" t="s">
        <v>36</v>
      </c>
      <c r="M29" s="36"/>
      <c r="N29" s="15"/>
    </row>
    <row r="30" spans="1:14" x14ac:dyDescent="0.25">
      <c r="A30" s="15"/>
      <c r="B30" s="37">
        <f>$D$19</f>
        <v>2027</v>
      </c>
      <c r="C30" s="37"/>
      <c r="D30" s="38">
        <f t="shared" ref="D30:D59" si="0">$D$15*$D$16</f>
        <v>4800</v>
      </c>
      <c r="E30" s="38"/>
      <c r="F30" s="38">
        <f>$D$14+$D$15*$D$16*1</f>
        <v>29800</v>
      </c>
      <c r="G30" s="38"/>
      <c r="H30" s="39">
        <f>L30-$D$14-D30</f>
        <v>1676.1702457722495</v>
      </c>
      <c r="I30" s="39"/>
      <c r="J30" s="39">
        <f t="shared" ref="J30:J59" si="1">L30-F30</f>
        <v>1676.1702457722495</v>
      </c>
      <c r="K30" s="39"/>
      <c r="L30" s="38">
        <f>IF($D$17=0,$D$14+D30,$D$14*(1+$D$17/$D$16)^$D$16+$D$15*(((1+$D$17/$D$16)^$D$16-1)/($D$17/$D$16)))</f>
        <v>31476.170245772249</v>
      </c>
      <c r="M30" s="38"/>
      <c r="N30" s="15"/>
    </row>
    <row r="31" spans="1:14" x14ac:dyDescent="0.25">
      <c r="A31" s="15"/>
      <c r="B31" s="37">
        <f t="shared" ref="B31:B59" si="2">B30+1</f>
        <v>2028</v>
      </c>
      <c r="C31" s="37"/>
      <c r="D31" s="38">
        <f t="shared" si="0"/>
        <v>4800</v>
      </c>
      <c r="E31" s="38"/>
      <c r="F31" s="38">
        <f>$D$14+$D$15*$D$16*2</f>
        <v>34600</v>
      </c>
      <c r="G31" s="38"/>
      <c r="H31" s="39">
        <f t="shared" ref="H31:H59" si="3">L31-L30-D31</f>
        <v>2075.606255793442</v>
      </c>
      <c r="I31" s="39"/>
      <c r="J31" s="39">
        <f t="shared" si="1"/>
        <v>3751.7765015656914</v>
      </c>
      <c r="K31" s="39"/>
      <c r="L31" s="38">
        <f t="shared" ref="L31:L59" si="4">IF($D$17=0,L30+D31,L30*(1+$D$17/$D$16)^$D$16+$D$15*(((1+$D$17/$D$16)^$D$16-1)/($D$17/$D$16)))</f>
        <v>38351.776501565691</v>
      </c>
      <c r="M31" s="38"/>
      <c r="N31" s="15"/>
    </row>
    <row r="32" spans="1:14" x14ac:dyDescent="0.25">
      <c r="A32" s="15"/>
      <c r="B32" s="37">
        <f t="shared" si="2"/>
        <v>2029</v>
      </c>
      <c r="C32" s="37"/>
      <c r="D32" s="38">
        <f t="shared" si="0"/>
        <v>4800</v>
      </c>
      <c r="E32" s="38"/>
      <c r="F32" s="38">
        <f>$D$14+$D$15*$D$16*3</f>
        <v>39400</v>
      </c>
      <c r="G32" s="38"/>
      <c r="H32" s="39">
        <f t="shared" si="3"/>
        <v>2499.6786048926442</v>
      </c>
      <c r="I32" s="39"/>
      <c r="J32" s="39">
        <f t="shared" si="1"/>
        <v>6251.4551064583356</v>
      </c>
      <c r="K32" s="39"/>
      <c r="L32" s="38">
        <f t="shared" si="4"/>
        <v>45651.455106458336</v>
      </c>
      <c r="M32" s="38"/>
      <c r="N32" s="15"/>
    </row>
    <row r="33" spans="1:14" x14ac:dyDescent="0.25">
      <c r="A33" s="15"/>
      <c r="B33" s="37">
        <f t="shared" si="2"/>
        <v>2030</v>
      </c>
      <c r="C33" s="37"/>
      <c r="D33" s="38">
        <f t="shared" si="0"/>
        <v>4800</v>
      </c>
      <c r="E33" s="38"/>
      <c r="F33" s="38">
        <f>$D$14+$D$15*$D$16*4</f>
        <v>44200</v>
      </c>
      <c r="G33" s="38"/>
      <c r="H33" s="39">
        <f t="shared" si="3"/>
        <v>2949.9068085565086</v>
      </c>
      <c r="I33" s="39"/>
      <c r="J33" s="39">
        <f t="shared" si="1"/>
        <v>9201.3619150148443</v>
      </c>
      <c r="K33" s="39"/>
      <c r="L33" s="38">
        <f t="shared" si="4"/>
        <v>53401.361915014844</v>
      </c>
      <c r="M33" s="38"/>
      <c r="N33" s="15"/>
    </row>
    <row r="34" spans="1:14" x14ac:dyDescent="0.25">
      <c r="A34" s="15"/>
      <c r="B34" s="40">
        <f t="shared" si="2"/>
        <v>2031</v>
      </c>
      <c r="C34" s="40"/>
      <c r="D34" s="41">
        <f t="shared" si="0"/>
        <v>4800</v>
      </c>
      <c r="E34" s="41"/>
      <c r="F34" s="41">
        <f>$D$14+$D$15*$D$16*5</f>
        <v>49000</v>
      </c>
      <c r="G34" s="41"/>
      <c r="H34" s="42">
        <f t="shared" si="3"/>
        <v>3427.9041026620398</v>
      </c>
      <c r="I34" s="42"/>
      <c r="J34" s="42">
        <f t="shared" si="1"/>
        <v>12629.266017676884</v>
      </c>
      <c r="K34" s="42"/>
      <c r="L34" s="43">
        <f t="shared" si="4"/>
        <v>61629.266017676884</v>
      </c>
      <c r="M34" s="43"/>
      <c r="N34" s="15"/>
    </row>
    <row r="35" spans="1:14" x14ac:dyDescent="0.25">
      <c r="A35" s="15"/>
      <c r="B35" s="37">
        <f t="shared" si="2"/>
        <v>2032</v>
      </c>
      <c r="C35" s="37"/>
      <c r="D35" s="38">
        <f t="shared" si="0"/>
        <v>4800</v>
      </c>
      <c r="E35" s="38"/>
      <c r="F35" s="38">
        <f>$D$14+$D$15*$D$16*6</f>
        <v>53800</v>
      </c>
      <c r="G35" s="38"/>
      <c r="H35" s="39">
        <f t="shared" si="3"/>
        <v>3935.3832239451585</v>
      </c>
      <c r="I35" s="39"/>
      <c r="J35" s="39">
        <f t="shared" si="1"/>
        <v>16564.649241622043</v>
      </c>
      <c r="K35" s="39"/>
      <c r="L35" s="38">
        <f t="shared" si="4"/>
        <v>70364.649241622043</v>
      </c>
      <c r="M35" s="38"/>
      <c r="N35" s="15"/>
    </row>
    <row r="36" spans="1:14" x14ac:dyDescent="0.25">
      <c r="A36" s="15"/>
      <c r="B36" s="37">
        <f t="shared" si="2"/>
        <v>2033</v>
      </c>
      <c r="C36" s="37"/>
      <c r="D36" s="38">
        <f t="shared" si="0"/>
        <v>4800</v>
      </c>
      <c r="E36" s="38"/>
      <c r="F36" s="38">
        <f>$D$14+$D$15*$D$16*7</f>
        <v>58600</v>
      </c>
      <c r="G36" s="38"/>
      <c r="H36" s="39">
        <f t="shared" si="3"/>
        <v>4474.1625469959399</v>
      </c>
      <c r="I36" s="39"/>
      <c r="J36" s="39">
        <f t="shared" si="1"/>
        <v>21038.811788617983</v>
      </c>
      <c r="K36" s="39"/>
      <c r="L36" s="38">
        <f t="shared" si="4"/>
        <v>79638.811788617983</v>
      </c>
      <c r="M36" s="38"/>
      <c r="N36" s="15"/>
    </row>
    <row r="37" spans="1:14" x14ac:dyDescent="0.25">
      <c r="A37" s="15"/>
      <c r="B37" s="37">
        <f t="shared" si="2"/>
        <v>2034</v>
      </c>
      <c r="C37" s="37"/>
      <c r="D37" s="38">
        <f t="shared" si="0"/>
        <v>4800</v>
      </c>
      <c r="E37" s="38"/>
      <c r="F37" s="38">
        <f>$D$14+$D$15*$D$16*8</f>
        <v>63400</v>
      </c>
      <c r="G37" s="38"/>
      <c r="H37" s="39">
        <f t="shared" si="3"/>
        <v>5046.1725997703179</v>
      </c>
      <c r="I37" s="39"/>
      <c r="J37" s="39">
        <f t="shared" si="1"/>
        <v>26084.9843883883</v>
      </c>
      <c r="K37" s="39"/>
      <c r="L37" s="38">
        <f t="shared" si="4"/>
        <v>89484.9843883883</v>
      </c>
      <c r="M37" s="38"/>
      <c r="N37" s="15"/>
    </row>
    <row r="38" spans="1:14" x14ac:dyDescent="0.25">
      <c r="A38" s="15"/>
      <c r="B38" s="37">
        <f t="shared" si="2"/>
        <v>2035</v>
      </c>
      <c r="C38" s="37"/>
      <c r="D38" s="38">
        <f t="shared" si="0"/>
        <v>4800</v>
      </c>
      <c r="E38" s="38"/>
      <c r="F38" s="38">
        <f>$D$14+$D$15*$D$16*9</f>
        <v>68200</v>
      </c>
      <c r="G38" s="38"/>
      <c r="H38" s="39">
        <f t="shared" si="3"/>
        <v>5653.4629809643229</v>
      </c>
      <c r="I38" s="39"/>
      <c r="J38" s="39">
        <f t="shared" si="1"/>
        <v>31738.447369352623</v>
      </c>
      <c r="K38" s="39"/>
      <c r="L38" s="38">
        <f t="shared" si="4"/>
        <v>99938.447369352623</v>
      </c>
      <c r="M38" s="38"/>
      <c r="N38" s="15"/>
    </row>
    <row r="39" spans="1:14" x14ac:dyDescent="0.25">
      <c r="A39" s="15"/>
      <c r="B39" s="40">
        <f t="shared" si="2"/>
        <v>2036</v>
      </c>
      <c r="C39" s="40"/>
      <c r="D39" s="41">
        <f t="shared" si="0"/>
        <v>4800</v>
      </c>
      <c r="E39" s="41"/>
      <c r="F39" s="41">
        <f>$D$14+$D$15*$D$16*10</f>
        <v>73000</v>
      </c>
      <c r="G39" s="41"/>
      <c r="H39" s="42">
        <f t="shared" si="3"/>
        <v>6298.2097040367371</v>
      </c>
      <c r="I39" s="42"/>
      <c r="J39" s="42">
        <f t="shared" si="1"/>
        <v>38036.65707338936</v>
      </c>
      <c r="K39" s="42"/>
      <c r="L39" s="43">
        <f t="shared" si="4"/>
        <v>111036.65707338936</v>
      </c>
      <c r="M39" s="43"/>
      <c r="N39" s="15"/>
    </row>
    <row r="40" spans="1:14" x14ac:dyDescent="0.25">
      <c r="A40" s="15"/>
      <c r="B40" s="37">
        <f t="shared" si="2"/>
        <v>2037</v>
      </c>
      <c r="C40" s="37"/>
      <c r="D40" s="38">
        <f t="shared" si="0"/>
        <v>4800</v>
      </c>
      <c r="E40" s="38"/>
      <c r="F40" s="38">
        <f>$D$14+$D$15*$D$16*11</f>
        <v>77800</v>
      </c>
      <c r="G40" s="38"/>
      <c r="H40" s="39">
        <f t="shared" si="3"/>
        <v>6982.72299419505</v>
      </c>
      <c r="I40" s="39"/>
      <c r="J40" s="39">
        <f t="shared" si="1"/>
        <v>45019.38006758441</v>
      </c>
      <c r="K40" s="39"/>
      <c r="L40" s="38">
        <f t="shared" si="4"/>
        <v>122819.38006758441</v>
      </c>
      <c r="M40" s="38"/>
      <c r="N40" s="15"/>
    </row>
    <row r="41" spans="1:14" x14ac:dyDescent="0.25">
      <c r="A41" s="15"/>
      <c r="B41" s="37">
        <f t="shared" si="2"/>
        <v>2038</v>
      </c>
      <c r="C41" s="37"/>
      <c r="D41" s="38">
        <f t="shared" si="0"/>
        <v>4800</v>
      </c>
      <c r="E41" s="38"/>
      <c r="F41" s="38">
        <f>$D$14+$D$15*$D$16*12</f>
        <v>82600</v>
      </c>
      <c r="G41" s="38"/>
      <c r="H41" s="39">
        <f t="shared" si="3"/>
        <v>7709.4555662825151</v>
      </c>
      <c r="I41" s="39"/>
      <c r="J41" s="39">
        <f t="shared" si="1"/>
        <v>52728.835633866925</v>
      </c>
      <c r="K41" s="39"/>
      <c r="L41" s="38">
        <f t="shared" si="4"/>
        <v>135328.83563386693</v>
      </c>
      <c r="M41" s="38"/>
      <c r="N41" s="15"/>
    </row>
    <row r="42" spans="1:14" x14ac:dyDescent="0.25">
      <c r="A42" s="15"/>
      <c r="B42" s="37">
        <f t="shared" si="2"/>
        <v>2039</v>
      </c>
      <c r="C42" s="37"/>
      <c r="D42" s="38">
        <f t="shared" si="0"/>
        <v>4800</v>
      </c>
      <c r="E42" s="38"/>
      <c r="F42" s="38">
        <f>$D$14+$D$15*$D$16*13</f>
        <v>87400</v>
      </c>
      <c r="G42" s="38"/>
      <c r="H42" s="39">
        <f t="shared" si="3"/>
        <v>8481.0114132269809</v>
      </c>
      <c r="I42" s="39"/>
      <c r="J42" s="39">
        <f t="shared" si="1"/>
        <v>61209.847047093906</v>
      </c>
      <c r="K42" s="39"/>
      <c r="L42" s="38">
        <f t="shared" si="4"/>
        <v>148609.84704709391</v>
      </c>
      <c r="M42" s="38"/>
      <c r="N42" s="15"/>
    </row>
    <row r="43" spans="1:14" x14ac:dyDescent="0.25">
      <c r="A43" s="15"/>
      <c r="B43" s="37">
        <f t="shared" si="2"/>
        <v>2040</v>
      </c>
      <c r="C43" s="37"/>
      <c r="D43" s="38">
        <f t="shared" si="0"/>
        <v>4800</v>
      </c>
      <c r="E43" s="38"/>
      <c r="F43" s="38">
        <f>$D$14+$D$15*$D$16*14</f>
        <v>92200</v>
      </c>
      <c r="G43" s="38"/>
      <c r="H43" s="39">
        <f t="shared" si="3"/>
        <v>9300.1551365422201</v>
      </c>
      <c r="I43" s="39"/>
      <c r="J43" s="39">
        <f t="shared" si="1"/>
        <v>70510.002183636127</v>
      </c>
      <c r="K43" s="39"/>
      <c r="L43" s="38">
        <f t="shared" si="4"/>
        <v>162710.00218363613</v>
      </c>
      <c r="M43" s="38"/>
      <c r="N43" s="15"/>
    </row>
    <row r="44" spans="1:14" x14ac:dyDescent="0.25">
      <c r="A44" s="15"/>
      <c r="B44" s="40">
        <f t="shared" si="2"/>
        <v>2041</v>
      </c>
      <c r="C44" s="40"/>
      <c r="D44" s="41">
        <f t="shared" si="0"/>
        <v>4800</v>
      </c>
      <c r="E44" s="41"/>
      <c r="F44" s="41">
        <f>$D$14+$D$15*$D$16*15</f>
        <v>97000</v>
      </c>
      <c r="G44" s="41"/>
      <c r="H44" s="42">
        <f t="shared" si="3"/>
        <v>10169.821852314111</v>
      </c>
      <c r="I44" s="42"/>
      <c r="J44" s="42">
        <f t="shared" si="1"/>
        <v>80679.824035950238</v>
      </c>
      <c r="K44" s="42"/>
      <c r="L44" s="43">
        <f t="shared" si="4"/>
        <v>177679.82403595024</v>
      </c>
      <c r="M44" s="43"/>
      <c r="N44" s="15"/>
    </row>
    <row r="45" spans="1:14" x14ac:dyDescent="0.25">
      <c r="A45" s="15"/>
      <c r="B45" s="37">
        <f t="shared" si="2"/>
        <v>2042</v>
      </c>
      <c r="C45" s="37"/>
      <c r="D45" s="38">
        <f t="shared" si="0"/>
        <v>4800</v>
      </c>
      <c r="E45" s="38"/>
      <c r="F45" s="38">
        <f>$D$14+$D$15*$D$16*16</f>
        <v>101800</v>
      </c>
      <c r="G45" s="38"/>
      <c r="H45" s="39">
        <f t="shared" si="3"/>
        <v>11093.127708166197</v>
      </c>
      <c r="I45" s="39"/>
      <c r="J45" s="39">
        <f t="shared" si="1"/>
        <v>91772.951744116435</v>
      </c>
      <c r="K45" s="39"/>
      <c r="L45" s="38">
        <f t="shared" si="4"/>
        <v>193572.95174411644</v>
      </c>
      <c r="M45" s="38"/>
      <c r="N45" s="15"/>
    </row>
    <row r="46" spans="1:14" x14ac:dyDescent="0.25">
      <c r="A46" s="15"/>
      <c r="B46" s="37">
        <f t="shared" si="2"/>
        <v>2043</v>
      </c>
      <c r="C46" s="37"/>
      <c r="D46" s="38">
        <f t="shared" si="0"/>
        <v>4800</v>
      </c>
      <c r="E46" s="38"/>
      <c r="F46" s="38">
        <f>$D$14+$D$15*$D$16*17</f>
        <v>106600</v>
      </c>
      <c r="G46" s="38"/>
      <c r="H46" s="39">
        <f t="shared" si="3"/>
        <v>12073.381048888899</v>
      </c>
      <c r="I46" s="39"/>
      <c r="J46" s="39">
        <f t="shared" si="1"/>
        <v>103846.33279300533</v>
      </c>
      <c r="K46" s="39"/>
      <c r="L46" s="38">
        <f t="shared" si="4"/>
        <v>210446.33279300533</v>
      </c>
      <c r="M46" s="38"/>
      <c r="N46" s="15"/>
    </row>
    <row r="47" spans="1:14" x14ac:dyDescent="0.25">
      <c r="A47" s="15"/>
      <c r="B47" s="37">
        <f t="shared" si="2"/>
        <v>2044</v>
      </c>
      <c r="C47" s="37"/>
      <c r="D47" s="38">
        <f t="shared" si="0"/>
        <v>4800</v>
      </c>
      <c r="E47" s="38"/>
      <c r="F47" s="38">
        <f>$D$14+$D$15*$D$16*18</f>
        <v>111400</v>
      </c>
      <c r="G47" s="38"/>
      <c r="H47" s="39">
        <f t="shared" si="3"/>
        <v>13114.094270740228</v>
      </c>
      <c r="I47" s="39"/>
      <c r="J47" s="39">
        <f t="shared" si="1"/>
        <v>116960.42706374556</v>
      </c>
      <c r="K47" s="39"/>
      <c r="L47" s="38">
        <f t="shared" si="4"/>
        <v>228360.42706374556</v>
      </c>
      <c r="M47" s="38"/>
      <c r="N47" s="15"/>
    </row>
    <row r="48" spans="1:14" x14ac:dyDescent="0.25">
      <c r="A48" s="15"/>
      <c r="B48" s="37">
        <f t="shared" si="2"/>
        <v>2045</v>
      </c>
      <c r="C48" s="37"/>
      <c r="D48" s="38">
        <f t="shared" si="0"/>
        <v>4800</v>
      </c>
      <c r="E48" s="38"/>
      <c r="F48" s="38">
        <f>$D$14+$D$15*$D$16*19</f>
        <v>116200</v>
      </c>
      <c r="G48" s="38"/>
      <c r="H48" s="39">
        <f t="shared" si="3"/>
        <v>14218.996406893828</v>
      </c>
      <c r="I48" s="39"/>
      <c r="J48" s="39">
        <f t="shared" si="1"/>
        <v>131179.42347063939</v>
      </c>
      <c r="K48" s="39"/>
      <c r="L48" s="38">
        <f t="shared" si="4"/>
        <v>247379.42347063939</v>
      </c>
      <c r="M48" s="38"/>
      <c r="N48" s="15"/>
    </row>
    <row r="49" spans="1:14" x14ac:dyDescent="0.25">
      <c r="A49" s="15"/>
      <c r="B49" s="40">
        <f t="shared" si="2"/>
        <v>2046</v>
      </c>
      <c r="C49" s="40"/>
      <c r="D49" s="41">
        <f t="shared" si="0"/>
        <v>4800</v>
      </c>
      <c r="E49" s="41"/>
      <c r="F49" s="41">
        <f>$D$14+$D$15*$D$16*20</f>
        <v>121000</v>
      </c>
      <c r="G49" s="41"/>
      <c r="H49" s="42">
        <f t="shared" si="3"/>
        <v>15392.046489129832</v>
      </c>
      <c r="I49" s="42"/>
      <c r="J49" s="42">
        <f t="shared" si="1"/>
        <v>146571.46995976922</v>
      </c>
      <c r="K49" s="42"/>
      <c r="L49" s="43">
        <f t="shared" si="4"/>
        <v>267571.46995976922</v>
      </c>
      <c r="M49" s="43"/>
      <c r="N49" s="15"/>
    </row>
    <row r="50" spans="1:14" x14ac:dyDescent="0.25">
      <c r="A50" s="15"/>
      <c r="B50" s="37">
        <f t="shared" si="2"/>
        <v>2047</v>
      </c>
      <c r="C50" s="37"/>
      <c r="D50" s="38">
        <f t="shared" si="0"/>
        <v>4800</v>
      </c>
      <c r="E50" s="38"/>
      <c r="F50" s="38">
        <f>$D$14+$D$15*$D$16*21</f>
        <v>125800</v>
      </c>
      <c r="G50" s="38"/>
      <c r="H50" s="39">
        <f t="shared" si="3"/>
        <v>16637.44773364556</v>
      </c>
      <c r="I50" s="39"/>
      <c r="J50" s="39">
        <f t="shared" si="1"/>
        <v>163208.91769341478</v>
      </c>
      <c r="K50" s="39"/>
      <c r="L50" s="38">
        <f t="shared" si="4"/>
        <v>289008.91769341478</v>
      </c>
      <c r="M50" s="38"/>
      <c r="N50" s="15"/>
    </row>
    <row r="51" spans="1:14" x14ac:dyDescent="0.25">
      <c r="A51" s="15"/>
      <c r="B51" s="37">
        <f t="shared" si="2"/>
        <v>2048</v>
      </c>
      <c r="C51" s="37"/>
      <c r="D51" s="38">
        <f t="shared" si="0"/>
        <v>4800</v>
      </c>
      <c r="E51" s="38"/>
      <c r="F51" s="38">
        <f>$D$14+$D$15*$D$16*22</f>
        <v>130600</v>
      </c>
      <c r="G51" s="38"/>
      <c r="H51" s="39">
        <f t="shared" si="3"/>
        <v>17959.662601816352</v>
      </c>
      <c r="I51" s="39"/>
      <c r="J51" s="39">
        <f t="shared" si="1"/>
        <v>181168.58029523114</v>
      </c>
      <c r="K51" s="39"/>
      <c r="L51" s="38">
        <f t="shared" si="4"/>
        <v>311768.58029523114</v>
      </c>
      <c r="M51" s="38"/>
      <c r="N51" s="15"/>
    </row>
    <row r="52" spans="1:14" x14ac:dyDescent="0.25">
      <c r="A52" s="15"/>
      <c r="B52" s="37">
        <f t="shared" si="2"/>
        <v>2049</v>
      </c>
      <c r="C52" s="37"/>
      <c r="D52" s="38">
        <f t="shared" si="0"/>
        <v>4800</v>
      </c>
      <c r="E52" s="38"/>
      <c r="F52" s="38">
        <f>$D$14+$D$15*$D$16*23</f>
        <v>135400</v>
      </c>
      <c r="G52" s="38"/>
      <c r="H52" s="39">
        <f t="shared" si="3"/>
        <v>19363.428789870639</v>
      </c>
      <c r="I52" s="39"/>
      <c r="J52" s="39">
        <f t="shared" si="1"/>
        <v>200532.00908510177</v>
      </c>
      <c r="K52" s="39"/>
      <c r="L52" s="38">
        <f t="shared" si="4"/>
        <v>335932.00908510177</v>
      </c>
      <c r="M52" s="38"/>
      <c r="N52" s="15"/>
    </row>
    <row r="53" spans="1:14" x14ac:dyDescent="0.25">
      <c r="A53" s="15"/>
      <c r="B53" s="37">
        <f t="shared" si="2"/>
        <v>2050</v>
      </c>
      <c r="C53" s="37"/>
      <c r="D53" s="38">
        <f t="shared" si="0"/>
        <v>4800</v>
      </c>
      <c r="E53" s="38"/>
      <c r="F53" s="38">
        <f>$D$14+$D$15*$D$16*24</f>
        <v>140200</v>
      </c>
      <c r="G53" s="38"/>
      <c r="H53" s="39">
        <f t="shared" si="3"/>
        <v>20853.776204773458</v>
      </c>
      <c r="I53" s="39"/>
      <c r="J53" s="39">
        <f t="shared" si="1"/>
        <v>221385.78528987523</v>
      </c>
      <c r="K53" s="39"/>
      <c r="L53" s="38">
        <f t="shared" si="4"/>
        <v>361585.78528987523</v>
      </c>
      <c r="M53" s="38"/>
      <c r="N53" s="15"/>
    </row>
    <row r="54" spans="1:14" x14ac:dyDescent="0.25">
      <c r="A54" s="15"/>
      <c r="B54" s="40">
        <f t="shared" si="2"/>
        <v>2051</v>
      </c>
      <c r="C54" s="40"/>
      <c r="D54" s="41">
        <f t="shared" si="0"/>
        <v>4800</v>
      </c>
      <c r="E54" s="41"/>
      <c r="F54" s="41">
        <f>$D$14+$D$15*$D$16*25</f>
        <v>145000</v>
      </c>
      <c r="G54" s="41"/>
      <c r="H54" s="42">
        <f t="shared" si="3"/>
        <v>22436.044987145404</v>
      </c>
      <c r="I54" s="42"/>
      <c r="J54" s="42">
        <f t="shared" si="1"/>
        <v>243821.83027702064</v>
      </c>
      <c r="K54" s="42"/>
      <c r="L54" s="43">
        <f t="shared" si="4"/>
        <v>388821.83027702064</v>
      </c>
      <c r="M54" s="43"/>
      <c r="N54" s="15"/>
    </row>
    <row r="55" spans="1:14" x14ac:dyDescent="0.25">
      <c r="A55" s="15"/>
      <c r="B55" s="37">
        <f t="shared" si="2"/>
        <v>2052</v>
      </c>
      <c r="C55" s="37"/>
      <c r="D55" s="38">
        <f t="shared" si="0"/>
        <v>4800</v>
      </c>
      <c r="E55" s="38"/>
      <c r="F55" s="38">
        <f>$D$14+$D$15*$D$16*26</f>
        <v>149800</v>
      </c>
      <c r="G55" s="38"/>
      <c r="H55" s="39">
        <f t="shared" si="3"/>
        <v>24115.904645795526</v>
      </c>
      <c r="I55" s="39"/>
      <c r="J55" s="39">
        <f t="shared" si="1"/>
        <v>267937.73492281616</v>
      </c>
      <c r="K55" s="39"/>
      <c r="L55" s="38">
        <f t="shared" si="4"/>
        <v>417737.73492281616</v>
      </c>
      <c r="M55" s="38"/>
      <c r="N55" s="15"/>
    </row>
    <row r="56" spans="1:14" x14ac:dyDescent="0.25">
      <c r="A56" s="15"/>
      <c r="B56" s="37">
        <f t="shared" si="2"/>
        <v>2053</v>
      </c>
      <c r="C56" s="37"/>
      <c r="D56" s="38">
        <f t="shared" si="0"/>
        <v>4800</v>
      </c>
      <c r="E56" s="38"/>
      <c r="F56" s="38">
        <f>$D$14+$D$15*$D$16*27</f>
        <v>154600</v>
      </c>
      <c r="G56" s="38"/>
      <c r="H56" s="39">
        <f t="shared" si="3"/>
        <v>25899.37437243067</v>
      </c>
      <c r="I56" s="39"/>
      <c r="J56" s="39">
        <f t="shared" si="1"/>
        <v>293837.10929524683</v>
      </c>
      <c r="K56" s="39"/>
      <c r="L56" s="38">
        <f t="shared" si="4"/>
        <v>448437.10929524683</v>
      </c>
      <c r="M56" s="38"/>
      <c r="N56" s="15"/>
    </row>
    <row r="57" spans="1:14" x14ac:dyDescent="0.25">
      <c r="A57" s="15"/>
      <c r="B57" s="37">
        <f t="shared" si="2"/>
        <v>2054</v>
      </c>
      <c r="C57" s="37"/>
      <c r="D57" s="38">
        <f t="shared" si="0"/>
        <v>4800</v>
      </c>
      <c r="E57" s="38"/>
      <c r="F57" s="38">
        <f>$D$14+$D$15*$D$16*28</f>
        <v>159400</v>
      </c>
      <c r="G57" s="38"/>
      <c r="H57" s="39">
        <f t="shared" si="3"/>
        <v>27792.844609331223</v>
      </c>
      <c r="I57" s="39"/>
      <c r="J57" s="39">
        <f t="shared" si="1"/>
        <v>321629.95390457805</v>
      </c>
      <c r="K57" s="39"/>
      <c r="L57" s="38">
        <f t="shared" si="4"/>
        <v>481029.95390457805</v>
      </c>
      <c r="M57" s="38"/>
      <c r="N57" s="15"/>
    </row>
    <row r="58" spans="1:14" x14ac:dyDescent="0.25">
      <c r="A58" s="15"/>
      <c r="B58" s="37">
        <f t="shared" si="2"/>
        <v>2055</v>
      </c>
      <c r="C58" s="37"/>
      <c r="D58" s="38">
        <f t="shared" si="0"/>
        <v>4800</v>
      </c>
      <c r="E58" s="38"/>
      <c r="F58" s="38">
        <f>$D$14+$D$15*$D$16*29</f>
        <v>164200</v>
      </c>
      <c r="G58" s="38"/>
      <c r="H58" s="39">
        <f t="shared" si="3"/>
        <v>29803.099947274372</v>
      </c>
      <c r="I58" s="39"/>
      <c r="J58" s="39">
        <f t="shared" si="1"/>
        <v>351433.05385185243</v>
      </c>
      <c r="K58" s="39"/>
      <c r="L58" s="38">
        <f t="shared" si="4"/>
        <v>515633.05385185243</v>
      </c>
      <c r="M58" s="38"/>
      <c r="N58" s="15"/>
    </row>
    <row r="59" spans="1:14" x14ac:dyDescent="0.25">
      <c r="A59" s="15"/>
      <c r="B59" s="44">
        <f t="shared" si="2"/>
        <v>2056</v>
      </c>
      <c r="C59" s="44"/>
      <c r="D59" s="45">
        <f t="shared" si="0"/>
        <v>4800</v>
      </c>
      <c r="E59" s="45"/>
      <c r="F59" s="45">
        <f>$D$14+$D$15*$D$16*30</f>
        <v>169000</v>
      </c>
      <c r="G59" s="45"/>
      <c r="H59" s="46">
        <f t="shared" si="3"/>
        <v>31937.343435750692</v>
      </c>
      <c r="I59" s="46"/>
      <c r="J59" s="46">
        <f t="shared" si="1"/>
        <v>383370.39728760312</v>
      </c>
      <c r="K59" s="46"/>
      <c r="L59" s="47">
        <f t="shared" si="4"/>
        <v>552370.39728760312</v>
      </c>
      <c r="M59" s="47"/>
      <c r="N59" s="15"/>
    </row>
    <row r="60" spans="1:14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14" ht="21.75" customHeight="1" x14ac:dyDescent="0.25">
      <c r="A61" s="15"/>
      <c r="B61" s="48" t="s">
        <v>37</v>
      </c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15"/>
    </row>
    <row r="62" spans="1:14" s="49" customFormat="1" x14ac:dyDescent="0.25"/>
    <row r="63" spans="1:14" s="49" customFormat="1" x14ac:dyDescent="0.25"/>
    <row r="64" spans="1:14" s="49" customFormat="1" x14ac:dyDescent="0.25"/>
    <row r="65" s="49" customFormat="1" x14ac:dyDescent="0.25"/>
    <row r="66" s="49" customFormat="1" x14ac:dyDescent="0.25"/>
    <row r="67" s="49" customFormat="1" x14ac:dyDescent="0.25"/>
    <row r="68" s="49" customFormat="1" x14ac:dyDescent="0.25"/>
    <row r="69" s="49" customFormat="1" x14ac:dyDescent="0.25"/>
    <row r="70" s="49" customFormat="1" x14ac:dyDescent="0.25"/>
    <row r="71" s="49" customFormat="1" x14ac:dyDescent="0.25"/>
    <row r="72" s="49" customFormat="1" x14ac:dyDescent="0.25"/>
    <row r="73" s="49" customFormat="1" x14ac:dyDescent="0.25"/>
    <row r="74" s="49" customFormat="1" x14ac:dyDescent="0.25"/>
    <row r="75" s="49" customFormat="1" x14ac:dyDescent="0.25"/>
    <row r="76" s="49" customFormat="1" x14ac:dyDescent="0.25"/>
    <row r="77" s="49" customFormat="1" x14ac:dyDescent="0.25"/>
    <row r="78" s="49" customFormat="1" x14ac:dyDescent="0.25"/>
    <row r="79" s="49" customFormat="1" x14ac:dyDescent="0.25"/>
    <row r="80" s="49" customFormat="1" x14ac:dyDescent="0.25"/>
    <row r="81" s="49" customFormat="1" x14ac:dyDescent="0.25"/>
    <row r="82" s="49" customFormat="1" x14ac:dyDescent="0.25"/>
    <row r="83" s="49" customFormat="1" x14ac:dyDescent="0.25"/>
    <row r="84" s="49" customFormat="1" x14ac:dyDescent="0.25"/>
    <row r="85" s="49" customFormat="1" x14ac:dyDescent="0.25"/>
    <row r="86" s="49" customFormat="1" x14ac:dyDescent="0.25"/>
    <row r="87" s="49" customFormat="1" x14ac:dyDescent="0.25"/>
    <row r="88" s="49" customFormat="1" x14ac:dyDescent="0.25"/>
    <row r="89" s="49" customFormat="1" x14ac:dyDescent="0.25"/>
    <row r="90" s="49" customFormat="1" x14ac:dyDescent="0.25"/>
    <row r="91" s="49" customFormat="1" x14ac:dyDescent="0.25"/>
    <row r="92" s="49" customFormat="1" x14ac:dyDescent="0.25"/>
    <row r="93" s="49" customFormat="1" x14ac:dyDescent="0.25"/>
    <row r="94" s="49" customFormat="1" x14ac:dyDescent="0.25"/>
    <row r="95" s="49" customFormat="1" x14ac:dyDescent="0.25"/>
    <row r="96" s="49" customFormat="1" x14ac:dyDescent="0.25"/>
    <row r="97" s="49" customFormat="1" x14ac:dyDescent="0.25"/>
    <row r="98" s="49" customFormat="1" x14ac:dyDescent="0.25"/>
    <row r="99" s="49" customFormat="1" x14ac:dyDescent="0.25"/>
    <row r="100" s="49" customFormat="1" x14ac:dyDescent="0.25"/>
    <row r="101" s="49" customFormat="1" x14ac:dyDescent="0.25"/>
    <row r="102" s="49" customFormat="1" x14ac:dyDescent="0.25"/>
    <row r="103" s="49" customFormat="1" x14ac:dyDescent="0.25"/>
    <row r="104" s="49" customFormat="1" x14ac:dyDescent="0.25"/>
    <row r="105" s="49" customFormat="1" x14ac:dyDescent="0.25"/>
    <row r="106" s="49" customFormat="1" x14ac:dyDescent="0.25"/>
    <row r="107" s="49" customFormat="1" x14ac:dyDescent="0.25"/>
    <row r="108" s="49" customFormat="1" x14ac:dyDescent="0.25"/>
    <row r="109" s="49" customFormat="1" x14ac:dyDescent="0.25"/>
    <row r="110" s="49" customFormat="1" x14ac:dyDescent="0.25"/>
    <row r="111" s="49" customFormat="1" x14ac:dyDescent="0.25"/>
    <row r="112" s="49" customFormat="1" x14ac:dyDescent="0.25"/>
    <row r="113" s="49" customFormat="1" x14ac:dyDescent="0.25"/>
    <row r="114" s="49" customFormat="1" x14ac:dyDescent="0.25"/>
    <row r="115" s="49" customFormat="1" x14ac:dyDescent="0.25"/>
    <row r="116" s="49" customFormat="1" x14ac:dyDescent="0.25"/>
    <row r="117" s="49" customFormat="1" x14ac:dyDescent="0.25"/>
    <row r="118" s="49" customFormat="1" x14ac:dyDescent="0.25"/>
    <row r="119" s="49" customFormat="1" x14ac:dyDescent="0.25"/>
    <row r="120" s="49" customFormat="1" x14ac:dyDescent="0.25"/>
    <row r="121" s="49" customFormat="1" x14ac:dyDescent="0.25"/>
    <row r="122" s="49" customFormat="1" x14ac:dyDescent="0.25"/>
    <row r="123" s="49" customFormat="1" x14ac:dyDescent="0.25"/>
    <row r="124" s="49" customFormat="1" x14ac:dyDescent="0.25"/>
    <row r="125" s="49" customFormat="1" x14ac:dyDescent="0.25"/>
    <row r="126" s="49" customFormat="1" x14ac:dyDescent="0.25"/>
    <row r="127" s="49" customFormat="1" x14ac:dyDescent="0.25"/>
    <row r="128" s="49" customFormat="1" x14ac:dyDescent="0.25"/>
    <row r="129" s="49" customFormat="1" x14ac:dyDescent="0.25"/>
    <row r="130" s="49" customFormat="1" x14ac:dyDescent="0.25"/>
    <row r="131" s="49" customFormat="1" x14ac:dyDescent="0.25"/>
    <row r="132" s="49" customFormat="1" x14ac:dyDescent="0.25"/>
    <row r="133" s="49" customFormat="1" x14ac:dyDescent="0.25"/>
    <row r="134" s="49" customFormat="1" x14ac:dyDescent="0.25"/>
    <row r="135" s="49" customFormat="1" x14ac:dyDescent="0.25"/>
    <row r="136" s="49" customFormat="1" x14ac:dyDescent="0.25"/>
    <row r="137" s="49" customFormat="1" x14ac:dyDescent="0.25"/>
    <row r="138" s="49" customFormat="1" x14ac:dyDescent="0.25"/>
    <row r="139" s="49" customFormat="1" x14ac:dyDescent="0.25"/>
    <row r="140" s="49" customFormat="1" x14ac:dyDescent="0.25"/>
    <row r="141" s="49" customFormat="1" x14ac:dyDescent="0.25"/>
    <row r="142" s="49" customFormat="1" x14ac:dyDescent="0.25"/>
    <row r="143" s="49" customFormat="1" x14ac:dyDescent="0.25"/>
    <row r="144" s="49" customFormat="1" x14ac:dyDescent="0.25"/>
    <row r="145" s="49" customFormat="1" x14ac:dyDescent="0.25"/>
    <row r="146" s="49" customFormat="1" x14ac:dyDescent="0.25"/>
    <row r="147" s="49" customFormat="1" x14ac:dyDescent="0.25"/>
    <row r="148" s="49" customFormat="1" x14ac:dyDescent="0.25"/>
    <row r="149" s="49" customFormat="1" x14ac:dyDescent="0.25"/>
    <row r="150" s="49" customFormat="1" x14ac:dyDescent="0.25"/>
    <row r="151" s="49" customFormat="1" x14ac:dyDescent="0.25"/>
    <row r="152" s="49" customFormat="1" x14ac:dyDescent="0.25"/>
    <row r="153" s="49" customFormat="1" x14ac:dyDescent="0.25"/>
    <row r="154" s="49" customFormat="1" x14ac:dyDescent="0.25"/>
    <row r="155" s="49" customFormat="1" x14ac:dyDescent="0.25"/>
    <row r="156" s="49" customFormat="1" x14ac:dyDescent="0.25"/>
    <row r="157" s="49" customFormat="1" x14ac:dyDescent="0.25"/>
    <row r="158" s="49" customFormat="1" x14ac:dyDescent="0.25"/>
    <row r="159" s="49" customFormat="1" x14ac:dyDescent="0.25"/>
    <row r="160" s="49" customFormat="1" x14ac:dyDescent="0.25"/>
    <row r="161" s="49" customFormat="1" x14ac:dyDescent="0.25"/>
    <row r="162" s="49" customFormat="1" x14ac:dyDescent="0.25"/>
    <row r="163" s="49" customFormat="1" x14ac:dyDescent="0.25"/>
    <row r="164" s="49" customFormat="1" x14ac:dyDescent="0.25"/>
    <row r="165" s="49" customFormat="1" x14ac:dyDescent="0.25"/>
    <row r="166" s="49" customFormat="1" x14ac:dyDescent="0.25"/>
    <row r="167" s="49" customFormat="1" x14ac:dyDescent="0.25"/>
  </sheetData>
  <mergeCells count="221">
    <mergeCell ref="B61:M61"/>
    <mergeCell ref="B58:C58"/>
    <mergeCell ref="D58:E58"/>
    <mergeCell ref="F58:G58"/>
    <mergeCell ref="H58:I58"/>
    <mergeCell ref="J58:K58"/>
    <mergeCell ref="L58:M58"/>
    <mergeCell ref="B59:C59"/>
    <mergeCell ref="D59:E59"/>
    <mergeCell ref="F59:G59"/>
    <mergeCell ref="H59:I59"/>
    <mergeCell ref="J59:K59"/>
    <mergeCell ref="L59:M59"/>
    <mergeCell ref="B56:C56"/>
    <mergeCell ref="D56:E56"/>
    <mergeCell ref="F56:G56"/>
    <mergeCell ref="H56:I56"/>
    <mergeCell ref="J56:K56"/>
    <mergeCell ref="L56:M56"/>
    <mergeCell ref="B57:C57"/>
    <mergeCell ref="D57:E57"/>
    <mergeCell ref="F57:G57"/>
    <mergeCell ref="H57:I57"/>
    <mergeCell ref="J57:K57"/>
    <mergeCell ref="L57:M57"/>
    <mergeCell ref="B54:C54"/>
    <mergeCell ref="D54:E54"/>
    <mergeCell ref="F54:G54"/>
    <mergeCell ref="H54:I54"/>
    <mergeCell ref="J54:K54"/>
    <mergeCell ref="L54:M54"/>
    <mergeCell ref="B55:C55"/>
    <mergeCell ref="D55:E55"/>
    <mergeCell ref="F55:G55"/>
    <mergeCell ref="H55:I55"/>
    <mergeCell ref="J55:K55"/>
    <mergeCell ref="L55:M55"/>
    <mergeCell ref="B52:C52"/>
    <mergeCell ref="D52:E52"/>
    <mergeCell ref="F52:G52"/>
    <mergeCell ref="H52:I52"/>
    <mergeCell ref="J52:K52"/>
    <mergeCell ref="L52:M52"/>
    <mergeCell ref="B53:C53"/>
    <mergeCell ref="D53:E53"/>
    <mergeCell ref="F53:G53"/>
    <mergeCell ref="H53:I53"/>
    <mergeCell ref="J53:K53"/>
    <mergeCell ref="L53:M53"/>
    <mergeCell ref="B50:C50"/>
    <mergeCell ref="D50:E50"/>
    <mergeCell ref="F50:G50"/>
    <mergeCell ref="H50:I50"/>
    <mergeCell ref="J50:K50"/>
    <mergeCell ref="L50:M50"/>
    <mergeCell ref="B51:C51"/>
    <mergeCell ref="D51:E51"/>
    <mergeCell ref="F51:G51"/>
    <mergeCell ref="H51:I51"/>
    <mergeCell ref="J51:K51"/>
    <mergeCell ref="L51:M51"/>
    <mergeCell ref="B48:C48"/>
    <mergeCell ref="D48:E48"/>
    <mergeCell ref="F48:G48"/>
    <mergeCell ref="H48:I48"/>
    <mergeCell ref="J48:K48"/>
    <mergeCell ref="L48:M48"/>
    <mergeCell ref="B49:C49"/>
    <mergeCell ref="D49:E49"/>
    <mergeCell ref="F49:G49"/>
    <mergeCell ref="H49:I49"/>
    <mergeCell ref="J49:K49"/>
    <mergeCell ref="L49:M49"/>
    <mergeCell ref="B46:C46"/>
    <mergeCell ref="D46:E46"/>
    <mergeCell ref="F46:G46"/>
    <mergeCell ref="H46:I46"/>
    <mergeCell ref="J46:K46"/>
    <mergeCell ref="L46:M46"/>
    <mergeCell ref="B47:C47"/>
    <mergeCell ref="D47:E47"/>
    <mergeCell ref="F47:G47"/>
    <mergeCell ref="H47:I47"/>
    <mergeCell ref="J47:K47"/>
    <mergeCell ref="L47:M47"/>
    <mergeCell ref="B44:C44"/>
    <mergeCell ref="D44:E44"/>
    <mergeCell ref="F44:G44"/>
    <mergeCell ref="H44:I44"/>
    <mergeCell ref="J44:K44"/>
    <mergeCell ref="L44:M44"/>
    <mergeCell ref="B45:C45"/>
    <mergeCell ref="D45:E45"/>
    <mergeCell ref="F45:G45"/>
    <mergeCell ref="H45:I45"/>
    <mergeCell ref="J45:K45"/>
    <mergeCell ref="L45:M45"/>
    <mergeCell ref="B42:C42"/>
    <mergeCell ref="D42:E42"/>
    <mergeCell ref="F42:G42"/>
    <mergeCell ref="H42:I42"/>
    <mergeCell ref="J42:K42"/>
    <mergeCell ref="L42:M42"/>
    <mergeCell ref="B43:C43"/>
    <mergeCell ref="D43:E43"/>
    <mergeCell ref="F43:G43"/>
    <mergeCell ref="H43:I43"/>
    <mergeCell ref="J43:K43"/>
    <mergeCell ref="L43:M43"/>
    <mergeCell ref="B40:C40"/>
    <mergeCell ref="D40:E40"/>
    <mergeCell ref="F40:G40"/>
    <mergeCell ref="H40:I40"/>
    <mergeCell ref="J40:K40"/>
    <mergeCell ref="L40:M40"/>
    <mergeCell ref="B41:C41"/>
    <mergeCell ref="D41:E41"/>
    <mergeCell ref="F41:G41"/>
    <mergeCell ref="H41:I41"/>
    <mergeCell ref="J41:K41"/>
    <mergeCell ref="L41:M41"/>
    <mergeCell ref="B38:C38"/>
    <mergeCell ref="D38:E38"/>
    <mergeCell ref="F38:G38"/>
    <mergeCell ref="H38:I38"/>
    <mergeCell ref="J38:K38"/>
    <mergeCell ref="L38:M38"/>
    <mergeCell ref="B39:C39"/>
    <mergeCell ref="D39:E39"/>
    <mergeCell ref="F39:G39"/>
    <mergeCell ref="H39:I39"/>
    <mergeCell ref="J39:K39"/>
    <mergeCell ref="L39:M39"/>
    <mergeCell ref="B36:C36"/>
    <mergeCell ref="D36:E36"/>
    <mergeCell ref="F36:G36"/>
    <mergeCell ref="H36:I36"/>
    <mergeCell ref="J36:K36"/>
    <mergeCell ref="L36:M36"/>
    <mergeCell ref="B37:C37"/>
    <mergeCell ref="D37:E37"/>
    <mergeCell ref="F37:G37"/>
    <mergeCell ref="H37:I37"/>
    <mergeCell ref="J37:K37"/>
    <mergeCell ref="L37:M37"/>
    <mergeCell ref="B34:C34"/>
    <mergeCell ref="D34:E34"/>
    <mergeCell ref="F34:G34"/>
    <mergeCell ref="H34:I34"/>
    <mergeCell ref="J34:K34"/>
    <mergeCell ref="L34:M34"/>
    <mergeCell ref="B35:C35"/>
    <mergeCell ref="D35:E35"/>
    <mergeCell ref="F35:G35"/>
    <mergeCell ref="H35:I35"/>
    <mergeCell ref="J35:K35"/>
    <mergeCell ref="L35:M35"/>
    <mergeCell ref="B32:C32"/>
    <mergeCell ref="D32:E32"/>
    <mergeCell ref="F32:G32"/>
    <mergeCell ref="H32:I32"/>
    <mergeCell ref="J32:K32"/>
    <mergeCell ref="L32:M32"/>
    <mergeCell ref="B33:C33"/>
    <mergeCell ref="D33:E33"/>
    <mergeCell ref="F33:G33"/>
    <mergeCell ref="H33:I33"/>
    <mergeCell ref="J33:K33"/>
    <mergeCell ref="L33:M33"/>
    <mergeCell ref="B30:C30"/>
    <mergeCell ref="D30:E30"/>
    <mergeCell ref="F30:G30"/>
    <mergeCell ref="H30:I30"/>
    <mergeCell ref="J30:K30"/>
    <mergeCell ref="L30:M30"/>
    <mergeCell ref="B31:C31"/>
    <mergeCell ref="D31:E31"/>
    <mergeCell ref="F31:G31"/>
    <mergeCell ref="H31:I31"/>
    <mergeCell ref="J31:K31"/>
    <mergeCell ref="L31:M31"/>
    <mergeCell ref="B24:C24"/>
    <mergeCell ref="B25:C25"/>
    <mergeCell ref="B26:C26"/>
    <mergeCell ref="H28:M28"/>
    <mergeCell ref="B29:C29"/>
    <mergeCell ref="D29:E29"/>
    <mergeCell ref="F29:G29"/>
    <mergeCell ref="H29:I29"/>
    <mergeCell ref="J29:K29"/>
    <mergeCell ref="L29:M29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8:D8"/>
    <mergeCell ref="E8:G8"/>
    <mergeCell ref="H8:J8"/>
    <mergeCell ref="K8:M8"/>
    <mergeCell ref="B9:D9"/>
    <mergeCell ref="E9:G9"/>
    <mergeCell ref="H9:J9"/>
    <mergeCell ref="K9:M9"/>
    <mergeCell ref="B14:C14"/>
    <mergeCell ref="D14:E14"/>
    <mergeCell ref="B2:B4"/>
    <mergeCell ref="C2:H2"/>
    <mergeCell ref="J2:M2"/>
    <mergeCell ref="C3:H3"/>
    <mergeCell ref="J3:M3"/>
    <mergeCell ref="J4:M4"/>
    <mergeCell ref="B7:D7"/>
    <mergeCell ref="E7:G7"/>
    <mergeCell ref="H7:J7"/>
    <mergeCell ref="K7:M7"/>
  </mergeCells>
  <dataValidations count="5">
    <dataValidation type="decimal" operator="greaterThanOrEqual" showErrorMessage="1" error="Bitte einen Betrag ≥ 0 eingeben." promptTitle="Betrag" prompt="Betrag ≥ 0 eingeben." sqref="D14:D15" xr:uid="{00000000-0002-0000-0000-000000000000}">
      <formula1>0</formula1>
      <formula2>0</formula2>
    </dataValidation>
    <dataValidation type="list" showErrorMessage="1" error="Bitte 1, 2, 4 oder 12 wählen." promptTitle="Zahlungen pro Jahr" prompt="1=jährl., 2=halbj., 4=viertelj., 12=monatl." sqref="D16" xr:uid="{00000000-0002-0000-0000-000001000000}">
      <formula1>"1,2,4,12"</formula1>
      <formula2>0</formula2>
    </dataValidation>
    <dataValidation type="decimal" showErrorMessage="1" error="Zwischen 0 % und 100 %." promptTitle="Zinssatz p. a." prompt="Als Prozent, z. B. 6 %." sqref="D17" xr:uid="{00000000-0002-0000-0000-000002000000}">
      <formula1>0</formula1>
      <formula2>1</formula2>
    </dataValidation>
    <dataValidation type="whole" showErrorMessage="1" error="Ganze Zahl zwischen 1 und 40." promptTitle="Anlagehorizont" prompt="Ganze Jahre (1–40)." sqref="D18" xr:uid="{00000000-0002-0000-0000-000003000000}">
      <formula1>1</formula1>
      <formula2>40</formula2>
    </dataValidation>
    <dataValidation type="whole" showErrorMessage="1" error="Jahr zwischen 2000 und 2100." promptTitle="Startjahr" prompt="z. B. 2027." sqref="D19" xr:uid="{00000000-0002-0000-0000-000004000000}">
      <formula1>2000</formula1>
      <formula2>2100</formula2>
    </dataValidation>
  </dataValidations>
  <pageMargins left="0.35" right="0.35" top="0.45" bottom="0.45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Dashboard</vt:lpstr>
      <vt:lpstr>Dashboard!Druckbereich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2026-09-10T13:57:19Z</dcterms:created>
  <dcterms:modified xsi:type="dcterms:W3CDTF">2026-09-11T11:30:54Z</dcterms:modified>
  <dc:language>en-US</dc:language>
</cp:coreProperties>
</file>